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86" windowWidth="11340" windowHeight="6795" tabRatio="1000" firstSheet="2" activeTab="9"/>
  </bookViews>
  <sheets>
    <sheet name="ALLEGATO A" sheetId="1" r:id="rId1"/>
    <sheet name="ALLEGATO B" sheetId="2" r:id="rId2"/>
    <sheet name="ALLEGATO C" sheetId="3" r:id="rId3"/>
    <sheet name="ALLEGATO D" sheetId="4" r:id="rId4"/>
    <sheet name="ALLEGATO E" sheetId="5" r:id="rId5"/>
    <sheet name="ALLEGATO F" sheetId="6" r:id="rId6"/>
    <sheet name="ALLEGATO G" sheetId="7" r:id="rId7"/>
    <sheet name="ALLEGATO H" sheetId="8" r:id="rId8"/>
    <sheet name="ALLEGATO I" sheetId="9" r:id="rId9"/>
    <sheet name="ALLEGATO L" sheetId="10" r:id="rId10"/>
  </sheets>
  <externalReferences>
    <externalReference r:id="rId13"/>
  </externalReferences>
  <definedNames>
    <definedName name="_xlnm.Print_Titles" localSheetId="4">'ALLEGATO E'!$3:$3</definedName>
    <definedName name="_xlnm.Print_Titles" localSheetId="5">'ALLEGATO F'!$3:$4</definedName>
    <definedName name="_xlnm.Print_Titles" localSheetId="6">'ALLEGATO G'!$3:$3</definedName>
  </definedNames>
  <calcPr fullCalcOnLoad="1"/>
</workbook>
</file>

<file path=xl/sharedStrings.xml><?xml version="1.0" encoding="utf-8"?>
<sst xmlns="http://schemas.openxmlformats.org/spreadsheetml/2006/main" count="275" uniqueCount="166">
  <si>
    <t>INDENNITA' DI PROFESSIONALITA'</t>
  </si>
  <si>
    <t>C3</t>
  </si>
  <si>
    <t>C2</t>
  </si>
  <si>
    <t>C1</t>
  </si>
  <si>
    <t>B3</t>
  </si>
  <si>
    <t>B2</t>
  </si>
  <si>
    <t>B1</t>
  </si>
  <si>
    <t>A1</t>
  </si>
  <si>
    <t>FONDO DI SEDE</t>
  </si>
  <si>
    <t>STANZIAMENTO LORDO</t>
  </si>
  <si>
    <t>FASCIA</t>
  </si>
  <si>
    <t>TOTALE</t>
  </si>
  <si>
    <t>INDENNITA'  DI PROFESSIONALITA'</t>
  </si>
  <si>
    <t>POSIZIONI ORGANIZZATIVE</t>
  </si>
  <si>
    <t>TURNAZIONI UFFICI CENTRALI</t>
  </si>
  <si>
    <t>REPERIBILITA' UFFICI CENTRALI</t>
  </si>
  <si>
    <t>Tutti gli importi indicati sono comprensivi degli oneri a carico dello Stato</t>
  </si>
  <si>
    <t>AREZZO</t>
  </si>
  <si>
    <t>ASTI</t>
  </si>
  <si>
    <t>BARI</t>
  </si>
  <si>
    <t>BIELLA</t>
  </si>
  <si>
    <t>BOLOGNA</t>
  </si>
  <si>
    <t>FORLI'</t>
  </si>
  <si>
    <t>GENOVA</t>
  </si>
  <si>
    <t>LECCO</t>
  </si>
  <si>
    <t>LIVORNO</t>
  </si>
  <si>
    <t>MODENA</t>
  </si>
  <si>
    <t>PALERMO</t>
  </si>
  <si>
    <t>ROVIGO</t>
  </si>
  <si>
    <t>SIENA</t>
  </si>
  <si>
    <t>TORINO</t>
  </si>
  <si>
    <t>TREVISO</t>
  </si>
  <si>
    <t>VENEZIA</t>
  </si>
  <si>
    <t>VICENZA</t>
  </si>
  <si>
    <t>PROVINCIA</t>
  </si>
  <si>
    <t>PREFETTURA</t>
  </si>
  <si>
    <t>QUESTURA</t>
  </si>
  <si>
    <t>SEDE RSU</t>
  </si>
  <si>
    <t>UNITA'</t>
  </si>
  <si>
    <t xml:space="preserve">IMPORTO </t>
  </si>
  <si>
    <t>TOTALE LORDO ONERI STATO</t>
  </si>
  <si>
    <t>POSIZIONI  ORGANIZZATIVE</t>
  </si>
  <si>
    <t>TURNAZIONI QUESTURE ED ALTRI UFFICI P.S.</t>
  </si>
  <si>
    <t>UFFICI CENTRALI</t>
  </si>
  <si>
    <t>QUOTA PER REPERIBILITA'</t>
  </si>
  <si>
    <t>Dipartimento Pubblica Sicurezza</t>
  </si>
  <si>
    <t>SEDE DI RSU</t>
  </si>
  <si>
    <t>QUOTA PER TURNAZIONI</t>
  </si>
  <si>
    <t>ALESSANDRIA</t>
  </si>
  <si>
    <t>Scuola allievi agenti</t>
  </si>
  <si>
    <t>ANCONA</t>
  </si>
  <si>
    <t>QUESTURA                                              (comm.ti, n.o.p. perif., uff.comp.to pol. strada.- sez. pol.strada, uff.comp.to polfer, uff.comp.to pol.posta, uff.fron. marittima e aerea, zona tlc.)</t>
  </si>
  <si>
    <t>Scuola allievi agenti Senigallia</t>
  </si>
  <si>
    <t>QUESTURA                                                          (comm.to, sez. pol. strada, centro soggiorno)</t>
  </si>
  <si>
    <t>ASCOLI PICENO</t>
  </si>
  <si>
    <t>Reparto mobile</t>
  </si>
  <si>
    <t>QUESTURA                                                      (comm.ti, n.o.p.perif., uff. comp.to pol.fer., uff. comp.to pol.posta, uff. front.aerea, reparto volo, centro add.to pol.fer., uff.ispettivo periferico, centro raccolta interreg., autocentro, z</t>
  </si>
  <si>
    <t>Uffici comp.to pol. strada                                       (sez. pol. strada  - sottosez.)</t>
  </si>
  <si>
    <t>BOLZANO</t>
  </si>
  <si>
    <t>QUESTURA                                       (comm.ti, sez. pol. strada - distacc.to, settore pol. front., centro sogg., distacc.to autocentro, zona tlc.)</t>
  </si>
  <si>
    <t>CAGLIARI</t>
  </si>
  <si>
    <t>QUESTURA                                                       (comm.ti, uff.comp.to pol. strada - sez. pol. strada, uff.comp.to pol. fer, uff.frontiera marittima e aerea, uff. ispett.vo periferico, centro raccolta reg., autocentro, zona tlc.)</t>
  </si>
  <si>
    <t>CASERTA</t>
  </si>
  <si>
    <t>COSENZA</t>
  </si>
  <si>
    <t>QUESTURA                                                       (comm.ti, sez. pol.strada, posto pol.fer)</t>
  </si>
  <si>
    <t>FOGGIA</t>
  </si>
  <si>
    <t xml:space="preserve"> QUESTURA                                           (comm.ti, sez. pol. strada, scuola allievi agenti, autocentro)</t>
  </si>
  <si>
    <t xml:space="preserve">Centro add.to pol. stradale </t>
  </si>
  <si>
    <t xml:space="preserve"> QUESTURA                                         (comm.ti, n.o.p. periferico, uff. front. marittima e aerea, reparto mobile,centro add.to pol. postale, autocentro, zona tlc.) </t>
  </si>
  <si>
    <t xml:space="preserve"> QUESTURA                                       (comm.ti, sez. pol. strada, sez. pol. posta, uff.front.marittima)</t>
  </si>
  <si>
    <t>MANTOVA</t>
  </si>
  <si>
    <t xml:space="preserve"> QUESTURA                                                      (sez. pol. strada)</t>
  </si>
  <si>
    <t>MATERA</t>
  </si>
  <si>
    <t xml:space="preserve"> QUESTURA                                         (comm.to, sez pol. stradale) </t>
  </si>
  <si>
    <t>MILANO</t>
  </si>
  <si>
    <t>QUESTURA                                                           (comm.ti, n.o.p.periferico, uff.comp.to pol.fer., uff.comp.to pol.posta, uff.zona front., uff.front.aerea, reparto volo, centro formaz., ufficio ispettivo periferico, centro raccolta reg.,</t>
  </si>
  <si>
    <t>ORISTANO</t>
  </si>
  <si>
    <t>QUESTURA                                                      (sez. pol. strada, reparto volo)</t>
  </si>
  <si>
    <t>PESCARA</t>
  </si>
  <si>
    <t>Scuola pol. g.a.i.</t>
  </si>
  <si>
    <t>PIACENZA</t>
  </si>
  <si>
    <t>PORDENONE</t>
  </si>
  <si>
    <t>RAVENNA</t>
  </si>
  <si>
    <t xml:space="preserve"> QUESTURA                                                       (comm.to, sez. pol. strada)</t>
  </si>
  <si>
    <t>RIMINI</t>
  </si>
  <si>
    <t>QUESTURA                                                                (ufficio front. marittima e aerea)</t>
  </si>
  <si>
    <t>ROMA</t>
  </si>
  <si>
    <t>Uffici comp.to pol strada (rep.op.spec. - sez. pol. strada - sottosez - distacc.to)</t>
  </si>
  <si>
    <t>Ufficio front. aerea fiumicino</t>
  </si>
  <si>
    <t xml:space="preserve"> QUESTURA                                                              (comm.ti, sez. pol. strada)</t>
  </si>
  <si>
    <t>QUESTURA                                                         (comm.ti, n.o.p. periferico, uff. comp.to pol. strada - sez. pol. strada, uff. comp.to pol.fer, uff. zona pol. front, settore pol. front, uff. front. aerea, uff. ispett.vo periferico, autoce</t>
  </si>
  <si>
    <t>TRENTO</t>
  </si>
  <si>
    <t xml:space="preserve"> QUESTURA                                                        (comm.to, sez. pol. strada, uff. comp.to pol. posta, centro add.to alpino)</t>
  </si>
  <si>
    <t>TRIESTE</t>
  </si>
  <si>
    <t>QUESTURA                                     (uff.comp.to pol.strada-sez.pol.strada, uff. comp.to pol.fer, uff.comp.to pol.posta, settore pol. front - sottosez.val. strad., uff.front. marittima, centro addestr. pol. front.,distacc.to autocentro, zona tlc)</t>
  </si>
  <si>
    <t>centro add.p.fr.Duino</t>
  </si>
  <si>
    <t xml:space="preserve"> QUESTURA                                         (comm.ti, sez. pol. strada, uff. comp.to pol. fer, uff. comp.to pol. posta, uff. front. marittima e aerea)</t>
  </si>
  <si>
    <t>VERONA</t>
  </si>
  <si>
    <t>VIBO VALENTIA</t>
  </si>
  <si>
    <t>SONDRIO</t>
  </si>
  <si>
    <t>FONDO UNICO DI AMMINISTRAZIONE ANNO 2004</t>
  </si>
  <si>
    <t>REPERIBILITA'  UFFICI TERRITORIALI DEL GOVERNO</t>
  </si>
  <si>
    <t>C3 S</t>
  </si>
  <si>
    <t>C1 S</t>
  </si>
  <si>
    <t>B3 S</t>
  </si>
  <si>
    <t>A1 S</t>
  </si>
  <si>
    <t>POSIZIONI ECONOMICHE</t>
  </si>
  <si>
    <t>IMPORTO</t>
  </si>
  <si>
    <t>ONERI STATO</t>
  </si>
  <si>
    <t>TOTALE LORDO STATO</t>
  </si>
  <si>
    <t>UNITA' *</t>
  </si>
  <si>
    <t>TOTALI</t>
  </si>
  <si>
    <t>NUMERO UNITA'</t>
  </si>
  <si>
    <t>QUOTA REPERIBILITA'</t>
  </si>
  <si>
    <t>SEDI</t>
  </si>
  <si>
    <t>REPERIBILITA'  UFFICI CENTRALI</t>
  </si>
  <si>
    <t>Dipartimento per le Libertà Civili e l'Immigrazione</t>
  </si>
  <si>
    <t>Dipartimento dei Vigili del Fuoco, del soccorso pubblico e difesa dei civili</t>
  </si>
  <si>
    <t>Dipartimento Affari Interni e Territoriali</t>
  </si>
  <si>
    <t>TURNAZIONI  UFFICI CENTRALI</t>
  </si>
  <si>
    <t>CENTRO STUDI FERMO</t>
  </si>
  <si>
    <t>2º</t>
  </si>
  <si>
    <t>BERGAMO</t>
  </si>
  <si>
    <t>CREMONA</t>
  </si>
  <si>
    <t>FERRARA</t>
  </si>
  <si>
    <t>PAVIA</t>
  </si>
  <si>
    <t>DA C2 A C3</t>
  </si>
  <si>
    <t>DA C1 A C2</t>
  </si>
  <si>
    <t>DA B2 A B3</t>
  </si>
  <si>
    <t>DA B1 A B2</t>
  </si>
  <si>
    <t xml:space="preserve">C3 </t>
  </si>
  <si>
    <t xml:space="preserve">C1 </t>
  </si>
  <si>
    <t xml:space="preserve">B3 </t>
  </si>
  <si>
    <t xml:space="preserve">A1 </t>
  </si>
  <si>
    <t>stipendio base</t>
  </si>
  <si>
    <t>da    a1     a     a1s</t>
  </si>
  <si>
    <t>da    c3     a     c3s</t>
  </si>
  <si>
    <t>da    c1     a     c1s</t>
  </si>
  <si>
    <t>da    b3     a     b3s</t>
  </si>
  <si>
    <t>differenza annua</t>
  </si>
  <si>
    <t>percentuale applicata</t>
  </si>
  <si>
    <t>importi procapite</t>
  </si>
  <si>
    <t>UNITA' BENEFICIARIE DELLA POSIZIONE SUPER</t>
  </si>
  <si>
    <t>stipendio base super</t>
  </si>
  <si>
    <t xml:space="preserve">(*) Unità al 31.12.2003 </t>
  </si>
  <si>
    <t xml:space="preserve">UNITA' </t>
  </si>
  <si>
    <t>COMMISSARIO DEL GOVERNO</t>
  </si>
  <si>
    <t>CALTANISSETTA</t>
  </si>
  <si>
    <t>NOVARA</t>
  </si>
  <si>
    <t>VERBANO</t>
  </si>
  <si>
    <t>VERCELLI</t>
  </si>
  <si>
    <t>B</t>
  </si>
  <si>
    <t>C</t>
  </si>
  <si>
    <t>D</t>
  </si>
  <si>
    <t>E</t>
  </si>
  <si>
    <t>F</t>
  </si>
  <si>
    <t>G</t>
  </si>
  <si>
    <t>H</t>
  </si>
  <si>
    <t>I</t>
  </si>
  <si>
    <t>L</t>
  </si>
  <si>
    <t>TURNAZIONI  QUESTURE ED ALTRI UFFICI DI P.S.</t>
  </si>
  <si>
    <t>PARMA</t>
  </si>
  <si>
    <t>PESARO</t>
  </si>
  <si>
    <t>INDENNITA' SOSTITUTIVA DI RIQUALIFICAZIONE PROFESSIONALE</t>
  </si>
  <si>
    <t>POSIZIONI SUPER PREVISTE DALL'ART. 17 DEL CCNL 1998 - 2001</t>
  </si>
  <si>
    <t>INDENNITA' SOSTITUTIVA DI RIQUALIFICAZIONE PROFESSIONALE PER 10/12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</si>
</sst>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E+00"/>
    <numFmt numFmtId="171" formatCode="00000"/>
    <numFmt numFmtId="172" formatCode="&quot;€&quot;\ #,##0.00"/>
  </numFmts>
  <fonts count="21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justify" wrapText="1"/>
    </xf>
    <xf numFmtId="0" fontId="11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5" xfId="0" applyNumberFormat="1" applyFont="1" applyBorder="1" applyAlignment="1">
      <alignment/>
    </xf>
    <xf numFmtId="172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right" vertical="center"/>
    </xf>
    <xf numFmtId="172" fontId="1" fillId="0" borderId="2" xfId="16" applyNumberFormat="1" applyFont="1" applyBorder="1" applyAlignment="1">
      <alignment horizontal="right" vertical="center"/>
    </xf>
    <xf numFmtId="172" fontId="18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172" fontId="17" fillId="0" borderId="1" xfId="0" applyNumberFormat="1" applyFont="1" applyBorder="1" applyAlignment="1">
      <alignment horizontal="center" vertical="center" wrapText="1"/>
    </xf>
    <xf numFmtId="172" fontId="18" fillId="0" borderId="1" xfId="0" applyNumberFormat="1" applyFont="1" applyBorder="1" applyAlignment="1">
      <alignment horizontal="center"/>
    </xf>
    <xf numFmtId="172" fontId="18" fillId="0" borderId="1" xfId="0" applyNumberFormat="1" applyFont="1" applyBorder="1" applyAlignment="1">
      <alignment horizontal="center" vertical="center" wrapText="1"/>
    </xf>
    <xf numFmtId="172" fontId="1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7" fontId="1" fillId="0" borderId="0" xfId="0" applyNumberFormat="1" applyFont="1" applyAlignment="1">
      <alignment/>
    </xf>
    <xf numFmtId="7" fontId="0" fillId="0" borderId="0" xfId="0" applyNumberFormat="1" applyAlignment="1">
      <alignment/>
    </xf>
    <xf numFmtId="7" fontId="6" fillId="0" borderId="1" xfId="0" applyNumberFormat="1" applyFont="1" applyBorder="1" applyAlignment="1">
      <alignment/>
    </xf>
    <xf numFmtId="7" fontId="6" fillId="0" borderId="1" xfId="0" applyNumberFormat="1" applyFont="1" applyBorder="1" applyAlignment="1">
      <alignment vertical="center"/>
    </xf>
    <xf numFmtId="7" fontId="1" fillId="0" borderId="1" xfId="0" applyNumberFormat="1" applyFont="1" applyBorder="1" applyAlignment="1">
      <alignment/>
    </xf>
    <xf numFmtId="7" fontId="20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7" fontId="7" fillId="0" borderId="0" xfId="0" applyNumberFormat="1" applyFont="1" applyAlignment="1">
      <alignment/>
    </xf>
    <xf numFmtId="3" fontId="2" fillId="0" borderId="5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72" fontId="17" fillId="0" borderId="8" xfId="0" applyNumberFormat="1" applyFont="1" applyBorder="1" applyAlignment="1">
      <alignment horizontal="center" vertical="center" wrapText="1"/>
    </xf>
    <xf numFmtId="172" fontId="17" fillId="0" borderId="3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" fillId="0" borderId="6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Impostazioni%20locali\Temporary%20Internet%20Files\Content.IE5\ODERG56V\Conteggio%20unit&#224;%20centralisti%20e%20periferici%20per%20FUA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binetto"/>
      <sheetName val="Dip. Aff. Interni e Terr."/>
      <sheetName val="Dip. Vig. Fuoco ecc."/>
      <sheetName val="Dip. Libertà Civ. Imm."/>
      <sheetName val="Dip.P.S."/>
      <sheetName val="RIEP. PER TIPO DI EMOL."/>
      <sheetName val="Totale unità"/>
    </sheetNames>
    <sheetDataSet>
      <sheetData sheetId="6">
        <row r="8">
          <cell r="D8">
            <v>61</v>
          </cell>
        </row>
        <row r="9">
          <cell r="D9">
            <v>897</v>
          </cell>
        </row>
        <row r="10">
          <cell r="D10">
            <v>1462</v>
          </cell>
        </row>
        <row r="11">
          <cell r="D11">
            <v>863</v>
          </cell>
        </row>
        <row r="12">
          <cell r="D12">
            <v>3620</v>
          </cell>
        </row>
        <row r="13">
          <cell r="D13">
            <v>328</v>
          </cell>
        </row>
        <row r="14">
          <cell r="D14">
            <v>4018</v>
          </cell>
        </row>
        <row r="15">
          <cell r="D15">
            <v>3101</v>
          </cell>
        </row>
        <row r="16">
          <cell r="D16">
            <v>4263</v>
          </cell>
        </row>
        <row r="17">
          <cell r="D17">
            <v>802</v>
          </cell>
        </row>
        <row r="18">
          <cell r="D18">
            <v>1176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2">
      <selection activeCell="C17" sqref="C17"/>
    </sheetView>
  </sheetViews>
  <sheetFormatPr defaultColWidth="9.140625" defaultRowHeight="12.75"/>
  <cols>
    <col min="1" max="1" width="4.00390625" style="0" customWidth="1"/>
    <col min="2" max="2" width="4.140625" style="0" customWidth="1"/>
    <col min="3" max="3" width="60.8515625" style="0" customWidth="1"/>
    <col min="4" max="4" width="24.00390625" style="0" bestFit="1" customWidth="1"/>
  </cols>
  <sheetData>
    <row r="1" ht="49.5" customHeight="1"/>
    <row r="2" ht="23.25">
      <c r="C2" s="26" t="s">
        <v>100</v>
      </c>
    </row>
    <row r="3" spans="3:4" ht="18">
      <c r="C3" s="75"/>
      <c r="D3" s="76"/>
    </row>
    <row r="5" spans="3:4" ht="18">
      <c r="C5" s="27" t="s">
        <v>9</v>
      </c>
      <c r="D5" s="58">
        <v>39513142</v>
      </c>
    </row>
    <row r="6" ht="12.75">
      <c r="D6" s="59"/>
    </row>
    <row r="7" ht="12.75">
      <c r="D7" s="59"/>
    </row>
    <row r="8" spans="1:4" ht="15">
      <c r="A8" s="6">
        <v>1</v>
      </c>
      <c r="B8" s="12" t="s">
        <v>151</v>
      </c>
      <c r="C8" s="3" t="s">
        <v>12</v>
      </c>
      <c r="D8" s="60">
        <f>'ALLEGATO B'!F15</f>
        <v>23009986.72245</v>
      </c>
    </row>
    <row r="9" spans="1:4" ht="15">
      <c r="A9" s="6">
        <v>2</v>
      </c>
      <c r="B9" s="12" t="s">
        <v>152</v>
      </c>
      <c r="C9" s="3" t="s">
        <v>8</v>
      </c>
      <c r="D9" s="60">
        <f>'ALLEGATO C'!E6</f>
        <v>9372220.151</v>
      </c>
    </row>
    <row r="10" spans="1:4" ht="15">
      <c r="A10" s="6">
        <v>3</v>
      </c>
      <c r="B10" s="12" t="s">
        <v>153</v>
      </c>
      <c r="C10" s="3" t="s">
        <v>101</v>
      </c>
      <c r="D10" s="60">
        <f>'ALLEGATO D'!E4</f>
        <v>1039830.0342</v>
      </c>
    </row>
    <row r="11" spans="1:4" ht="15">
      <c r="A11" s="6">
        <v>4</v>
      </c>
      <c r="B11" s="12" t="s">
        <v>154</v>
      </c>
      <c r="C11" s="3" t="s">
        <v>15</v>
      </c>
      <c r="D11" s="61">
        <f>'ALLEGATO E'!B9</f>
        <v>117141.42926</v>
      </c>
    </row>
    <row r="12" spans="1:4" ht="15">
      <c r="A12" s="6">
        <v>5</v>
      </c>
      <c r="B12" s="12" t="s">
        <v>155</v>
      </c>
      <c r="C12" s="3" t="s">
        <v>42</v>
      </c>
      <c r="D12" s="60">
        <f>'ALLEGATO F'!C107</f>
        <v>286471.32684</v>
      </c>
    </row>
    <row r="13" spans="1:4" ht="15">
      <c r="A13" s="6">
        <v>6</v>
      </c>
      <c r="B13" s="12" t="s">
        <v>156</v>
      </c>
      <c r="C13" s="3" t="s">
        <v>14</v>
      </c>
      <c r="D13" s="61">
        <f>'ALLEGATO G'!B9</f>
        <v>106884.1439</v>
      </c>
    </row>
    <row r="14" spans="1:4" ht="15">
      <c r="A14" s="6">
        <v>7</v>
      </c>
      <c r="B14" s="12" t="s">
        <v>157</v>
      </c>
      <c r="C14" s="3" t="s">
        <v>13</v>
      </c>
      <c r="D14" s="60">
        <f>'ALLEGATO H'!E31</f>
        <v>71274.92164</v>
      </c>
    </row>
    <row r="15" spans="1:4" ht="30">
      <c r="A15" s="6">
        <v>8</v>
      </c>
      <c r="B15" s="12" t="s">
        <v>158</v>
      </c>
      <c r="C15" s="73" t="s">
        <v>165</v>
      </c>
      <c r="D15" s="60">
        <f>'ALLEGATO I'!F8</f>
        <v>2731348</v>
      </c>
    </row>
    <row r="16" spans="1:4" ht="30">
      <c r="A16" s="6">
        <v>9</v>
      </c>
      <c r="B16" s="12" t="s">
        <v>159</v>
      </c>
      <c r="C16" s="73" t="s">
        <v>164</v>
      </c>
      <c r="D16" s="60">
        <f>'ALLEGATO L'!G8</f>
        <v>2777985.266389998</v>
      </c>
    </row>
    <row r="17" spans="1:4" ht="18">
      <c r="A17" s="6"/>
      <c r="B17" s="6"/>
      <c r="C17" s="4" t="s">
        <v>11</v>
      </c>
      <c r="D17" s="62">
        <f>SUM(D8:D16)</f>
        <v>39513141.99568</v>
      </c>
    </row>
    <row r="18" ht="12.75">
      <c r="C18" t="s">
        <v>16</v>
      </c>
    </row>
    <row r="20" spans="2:4" ht="12.75">
      <c r="B20" s="33"/>
      <c r="C20" s="33"/>
      <c r="D20" s="13"/>
    </row>
    <row r="21" spans="2:3" ht="12.75">
      <c r="B21" s="33"/>
      <c r="C21" s="33"/>
    </row>
    <row r="22" spans="2:3" ht="12.75">
      <c r="B22" s="33"/>
      <c r="C22" s="33"/>
    </row>
    <row r="23" ht="12.75">
      <c r="C23" s="33"/>
    </row>
  </sheetData>
  <mergeCells count="1">
    <mergeCell ref="C3:D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&amp;LDir.ne Centr. Risorse Finanziarie e Strumentali&amp;C
IPOTESI 1&amp;RALLEGATO  A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workbookViewId="0" topLeftCell="A1">
      <selection activeCell="E3" sqref="E3"/>
    </sheetView>
  </sheetViews>
  <sheetFormatPr defaultColWidth="9.140625" defaultRowHeight="12.75"/>
  <cols>
    <col min="1" max="1" width="17.421875" style="0" customWidth="1"/>
    <col min="2" max="3" width="11.57421875" style="24" customWidth="1"/>
    <col min="4" max="4" width="15.8515625" style="0" customWidth="1"/>
    <col min="5" max="7" width="19.7109375" style="0" customWidth="1"/>
    <col min="8" max="8" width="13.421875" style="0" hidden="1" customWidth="1"/>
    <col min="9" max="9" width="14.28125" style="0" hidden="1" customWidth="1"/>
    <col min="10" max="10" width="11.7109375" style="0" hidden="1" customWidth="1"/>
    <col min="11" max="11" width="0" style="0" hidden="1" customWidth="1"/>
  </cols>
  <sheetData>
    <row r="1" spans="1:7" ht="23.25">
      <c r="A1" s="77" t="s">
        <v>164</v>
      </c>
      <c r="B1" s="77"/>
      <c r="C1" s="77"/>
      <c r="D1" s="77"/>
      <c r="E1" s="77"/>
      <c r="F1" s="77"/>
      <c r="G1" s="77"/>
    </row>
    <row r="3" spans="1:7" ht="90">
      <c r="A3" s="30" t="s">
        <v>106</v>
      </c>
      <c r="B3" s="31" t="s">
        <v>110</v>
      </c>
      <c r="C3" s="69" t="s">
        <v>142</v>
      </c>
      <c r="D3" s="31" t="s">
        <v>107</v>
      </c>
      <c r="E3" s="31" t="s">
        <v>11</v>
      </c>
      <c r="F3" s="31" t="s">
        <v>108</v>
      </c>
      <c r="G3" s="30" t="s">
        <v>109</v>
      </c>
    </row>
    <row r="4" spans="1:7" ht="15">
      <c r="A4" s="32" t="s">
        <v>130</v>
      </c>
      <c r="B4" s="64">
        <f>'ALLEGATO B'!B5</f>
        <v>897</v>
      </c>
      <c r="C4" s="64">
        <f>ROUNDDOWN(I8*C31/100/F24,0)</f>
        <v>109</v>
      </c>
      <c r="D4" s="36">
        <f>F24</f>
        <v>1477.5900000000001</v>
      </c>
      <c r="E4" s="36">
        <f>D4*C4</f>
        <v>161057.31000000003</v>
      </c>
      <c r="F4" s="36">
        <f>E4*32.7%</f>
        <v>52665.740370000014</v>
      </c>
      <c r="G4" s="36">
        <f>E4+F4</f>
        <v>213723.05037000004</v>
      </c>
    </row>
    <row r="5" spans="1:7" ht="15">
      <c r="A5" s="32" t="s">
        <v>131</v>
      </c>
      <c r="B5" s="64">
        <f>'ALLEGATO B'!B8</f>
        <v>3620</v>
      </c>
      <c r="C5" s="64">
        <f>ROUNDUP(I8*C32/100/F25,0)-1</f>
        <v>840</v>
      </c>
      <c r="D5" s="36">
        <f>F25</f>
        <v>682.2399999999998</v>
      </c>
      <c r="E5" s="36">
        <f>D5*C5</f>
        <v>573081.5999999999</v>
      </c>
      <c r="F5" s="36">
        <f>E5*32.7%-395.2</f>
        <v>187002.48319999996</v>
      </c>
      <c r="G5" s="36">
        <f>E5+F5</f>
        <v>760084.0831999998</v>
      </c>
    </row>
    <row r="6" spans="1:7" ht="15">
      <c r="A6" s="32" t="s">
        <v>132</v>
      </c>
      <c r="B6" s="64">
        <f>'ALLEGATO B'!B10</f>
        <v>4018</v>
      </c>
      <c r="C6" s="64">
        <f>ROUNDUP(I8*C33/100/F26,0)</f>
        <v>694</v>
      </c>
      <c r="D6" s="36">
        <f>F26</f>
        <v>1060.289999999999</v>
      </c>
      <c r="E6" s="36">
        <f>D6*C6</f>
        <v>735841.2599999993</v>
      </c>
      <c r="F6" s="36">
        <f>E6*32.7%</f>
        <v>240620.09201999978</v>
      </c>
      <c r="G6" s="36">
        <f>E6+F6</f>
        <v>976461.3520199991</v>
      </c>
    </row>
    <row r="7" spans="1:8" ht="15">
      <c r="A7" s="32" t="s">
        <v>133</v>
      </c>
      <c r="B7" s="64">
        <f>'ALLEGATO B'!B14</f>
        <v>1176</v>
      </c>
      <c r="C7" s="64">
        <f>B7</f>
        <v>1176</v>
      </c>
      <c r="D7" s="36">
        <f>F27</f>
        <v>530.3999999999996</v>
      </c>
      <c r="E7" s="36">
        <f>D7*C7</f>
        <v>623750.3999999996</v>
      </c>
      <c r="F7" s="36">
        <f>E7*32.7%</f>
        <v>203966.38079999987</v>
      </c>
      <c r="G7" s="36">
        <f>E7+F7</f>
        <v>827716.7807999994</v>
      </c>
      <c r="H7" s="55"/>
    </row>
    <row r="8" spans="1:10" s="33" customFormat="1" ht="15">
      <c r="A8" s="34" t="s">
        <v>111</v>
      </c>
      <c r="B8" s="65">
        <f>SUM(B4:B7)</f>
        <v>9711</v>
      </c>
      <c r="C8" s="65">
        <f>SUM(C4:C7)</f>
        <v>2819</v>
      </c>
      <c r="D8" s="38"/>
      <c r="E8" s="38">
        <f>SUM(E4:E7)</f>
        <v>2093730.569999999</v>
      </c>
      <c r="F8" s="38">
        <f>SUM(F4:F7)</f>
        <v>684254.6963899997</v>
      </c>
      <c r="G8" s="38">
        <f>SUM(G4:G7)</f>
        <v>2777985.266389998</v>
      </c>
      <c r="H8" s="63">
        <f>'ALLEGATO A'!D5-SUM('ALLEGATO A'!D8:D15)</f>
        <v>2777985.270709999</v>
      </c>
      <c r="I8" s="71">
        <f>H10-E7</f>
        <v>1469682.3586360207</v>
      </c>
      <c r="J8" s="71">
        <f>I8/3</f>
        <v>489894.11954534025</v>
      </c>
    </row>
    <row r="10" spans="8:10" ht="12.75">
      <c r="H10" s="59">
        <f>H8*100/132.7</f>
        <v>2093432.7586360201</v>
      </c>
      <c r="I10" s="59">
        <f>H8-G8</f>
        <v>0.004320000763982534</v>
      </c>
      <c r="J10" s="59">
        <f>I10/3</f>
        <v>0.0014400002546608448</v>
      </c>
    </row>
    <row r="11" ht="15.75" customHeight="1">
      <c r="A11" s="1" t="s">
        <v>144</v>
      </c>
    </row>
    <row r="12" ht="12.75" hidden="1"/>
    <row r="13" ht="12.75" hidden="1"/>
    <row r="14" spans="4:8" ht="12.75" hidden="1">
      <c r="D14" t="s">
        <v>1</v>
      </c>
      <c r="E14" s="59">
        <f>B16/2*4%</f>
        <v>55559.705327799966</v>
      </c>
      <c r="F14" s="59">
        <f>E14/B4</f>
        <v>61.939470822519475</v>
      </c>
      <c r="G14" s="55">
        <f>F14*100/132.7</f>
        <v>46.67631561606593</v>
      </c>
      <c r="H14" s="55"/>
    </row>
    <row r="15" spans="4:8" ht="12.75" hidden="1">
      <c r="D15" t="s">
        <v>3</v>
      </c>
      <c r="E15" s="59">
        <f>B16/2*66%</f>
        <v>916735.1379086995</v>
      </c>
      <c r="F15" s="59">
        <f>E15/B5</f>
        <v>253.24175080350813</v>
      </c>
      <c r="G15" s="55">
        <f>F15*100/132.7</f>
        <v>190.83779261756453</v>
      </c>
      <c r="H15" s="55"/>
    </row>
    <row r="16" spans="2:8" ht="12.75" hidden="1">
      <c r="B16" s="63">
        <f>'ALLEGATO A'!D16</f>
        <v>2777985.266389998</v>
      </c>
      <c r="C16" s="63"/>
      <c r="D16" t="s">
        <v>4</v>
      </c>
      <c r="E16" s="59">
        <f>B16/2*30%</f>
        <v>416697.7899584997</v>
      </c>
      <c r="F16" s="59">
        <f>E16/B6</f>
        <v>103.70776255811342</v>
      </c>
      <c r="G16" s="55">
        <f>F16*100/132.7</f>
        <v>78.15204412819398</v>
      </c>
      <c r="H16" s="55"/>
    </row>
    <row r="17" spans="4:8" ht="12.75" hidden="1">
      <c r="D17" t="s">
        <v>7</v>
      </c>
      <c r="E17" s="59">
        <f>B16/2</f>
        <v>1388992.633194999</v>
      </c>
      <c r="F17" s="59">
        <f>E17/B7</f>
        <v>1181.116184689625</v>
      </c>
      <c r="G17" s="55">
        <f>F17*100/132.7</f>
        <v>890.0649470155427</v>
      </c>
      <c r="H17" s="55"/>
    </row>
    <row r="18" ht="12.75" hidden="1"/>
    <row r="19" spans="2:3" ht="12.75" hidden="1">
      <c r="B19" s="63">
        <f>'ALLEGATO A'!D5</f>
        <v>39513142</v>
      </c>
      <c r="C19" s="63"/>
    </row>
    <row r="20" spans="2:5" ht="12.75" hidden="1">
      <c r="B20" s="63">
        <f>H8-B19</f>
        <v>-36735156.72929</v>
      </c>
      <c r="C20" s="63"/>
      <c r="E20" s="59">
        <f>SUM(E15:E19)</f>
        <v>2722425.561062198</v>
      </c>
    </row>
    <row r="21" ht="12.75" hidden="1"/>
    <row r="22" spans="2:6" ht="25.5" hidden="1">
      <c r="B22" s="70" t="s">
        <v>143</v>
      </c>
      <c r="C22" s="70" t="s">
        <v>134</v>
      </c>
      <c r="D22" s="70" t="s">
        <v>139</v>
      </c>
      <c r="E22" s="67" t="s">
        <v>140</v>
      </c>
      <c r="F22" s="67" t="s">
        <v>141</v>
      </c>
    </row>
    <row r="23" spans="2:3" ht="12.75" hidden="1">
      <c r="B23"/>
      <c r="C23"/>
    </row>
    <row r="24" spans="1:6" ht="12.75" hidden="1">
      <c r="A24" s="24" t="s">
        <v>136</v>
      </c>
      <c r="B24" s="66">
        <v>16308.54</v>
      </c>
      <c r="C24" s="66">
        <v>14830.95</v>
      </c>
      <c r="D24" s="66">
        <f>B24-C24</f>
        <v>1477.5900000000001</v>
      </c>
      <c r="E24" s="68">
        <v>1</v>
      </c>
      <c r="F24" s="66">
        <f>D24*E24</f>
        <v>1477.5900000000001</v>
      </c>
    </row>
    <row r="25" spans="1:6" ht="12.75" hidden="1">
      <c r="A25" s="24" t="s">
        <v>137</v>
      </c>
      <c r="B25" s="66">
        <v>12091.5</v>
      </c>
      <c r="C25" s="66">
        <v>11409.26</v>
      </c>
      <c r="D25" s="66">
        <f>B25-C25</f>
        <v>682.2399999999998</v>
      </c>
      <c r="E25" s="68">
        <v>1</v>
      </c>
      <c r="F25" s="66">
        <f>D25*E25</f>
        <v>682.2399999999998</v>
      </c>
    </row>
    <row r="26" spans="1:6" ht="12.75" hidden="1">
      <c r="A26" s="24" t="s">
        <v>138</v>
      </c>
      <c r="B26" s="66">
        <v>11035.48</v>
      </c>
      <c r="C26" s="66">
        <v>9975.19</v>
      </c>
      <c r="D26" s="66">
        <f>B26-C26</f>
        <v>1060.289999999999</v>
      </c>
      <c r="E26" s="68">
        <v>1</v>
      </c>
      <c r="F26" s="66">
        <f>D26*E26</f>
        <v>1060.289999999999</v>
      </c>
    </row>
    <row r="27" spans="1:6" ht="12.75" hidden="1">
      <c r="A27" s="24" t="s">
        <v>135</v>
      </c>
      <c r="B27" s="66">
        <v>8137.95</v>
      </c>
      <c r="C27" s="66">
        <v>7607.55</v>
      </c>
      <c r="D27" s="66">
        <f>B27-C27</f>
        <v>530.3999999999996</v>
      </c>
      <c r="E27" s="68">
        <v>1</v>
      </c>
      <c r="F27" s="66">
        <f>D27*E27</f>
        <v>530.3999999999996</v>
      </c>
    </row>
    <row r="28" ht="16.5" customHeight="1" hidden="1"/>
    <row r="29" ht="12.75" hidden="1"/>
    <row r="30" ht="12.75" hidden="1"/>
    <row r="31" spans="1:6" ht="12.75" hidden="1">
      <c r="A31" s="24" t="s">
        <v>136</v>
      </c>
      <c r="B31" s="74">
        <f>B4</f>
        <v>897</v>
      </c>
      <c r="C31" s="24">
        <v>11</v>
      </c>
      <c r="D31" s="66"/>
      <c r="E31" s="66"/>
      <c r="F31" s="66"/>
    </row>
    <row r="32" spans="1:6" ht="12.75" hidden="1">
      <c r="A32" s="24" t="s">
        <v>137</v>
      </c>
      <c r="B32" s="74">
        <f>B5</f>
        <v>3620</v>
      </c>
      <c r="C32" s="24">
        <v>39</v>
      </c>
      <c r="D32" s="66"/>
      <c r="E32" s="66"/>
      <c r="F32" s="66"/>
    </row>
    <row r="33" spans="1:6" ht="12.75" hidden="1">
      <c r="A33" s="24" t="s">
        <v>138</v>
      </c>
      <c r="B33" s="74">
        <f>B6</f>
        <v>4018</v>
      </c>
      <c r="C33" s="24">
        <v>50</v>
      </c>
      <c r="D33" s="66"/>
      <c r="E33" s="66"/>
      <c r="F33" s="66"/>
    </row>
    <row r="34" spans="1:6" ht="12.75" hidden="1">
      <c r="A34" s="24" t="s">
        <v>135</v>
      </c>
      <c r="D34" s="66"/>
      <c r="E34" s="66"/>
      <c r="F34" s="66"/>
    </row>
    <row r="35" ht="12.75" hidden="1">
      <c r="B35" s="74">
        <f>SUM(B31:B34)</f>
        <v>8535</v>
      </c>
    </row>
    <row r="36" ht="12.75" hidden="1"/>
    <row r="37" ht="12.75" hidden="1"/>
    <row r="38" ht="12.75" hidden="1"/>
    <row r="39" ht="12.75" hidden="1"/>
    <row r="40" ht="12.75" hidden="1"/>
  </sheetData>
  <mergeCells count="1">
    <mergeCell ref="A1:G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&amp;LDir.ne Centr. Risorse Finanziarie e Strumentali&amp;RALLEGATO L
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B4" sqref="B4:B15"/>
    </sheetView>
  </sheetViews>
  <sheetFormatPr defaultColWidth="9.140625" defaultRowHeight="12.75"/>
  <cols>
    <col min="1" max="1" width="16.140625" style="0" customWidth="1"/>
    <col min="2" max="2" width="9.8515625" style="24" customWidth="1"/>
    <col min="3" max="3" width="15.8515625" style="0" customWidth="1"/>
    <col min="4" max="6" width="19.7109375" style="0" customWidth="1"/>
  </cols>
  <sheetData>
    <row r="1" spans="1:6" ht="23.25">
      <c r="A1" s="77" t="s">
        <v>0</v>
      </c>
      <c r="B1" s="77"/>
      <c r="C1" s="77"/>
      <c r="D1" s="77"/>
      <c r="E1" s="77"/>
      <c r="F1" s="77"/>
    </row>
    <row r="3" spans="1:6" ht="30">
      <c r="A3" s="30" t="s">
        <v>106</v>
      </c>
      <c r="B3" s="31" t="s">
        <v>110</v>
      </c>
      <c r="C3" s="31" t="s">
        <v>107</v>
      </c>
      <c r="D3" s="31" t="s">
        <v>11</v>
      </c>
      <c r="E3" s="31" t="s">
        <v>108</v>
      </c>
      <c r="F3" s="30" t="s">
        <v>109</v>
      </c>
    </row>
    <row r="4" spans="1:6" ht="15">
      <c r="A4" s="32" t="s">
        <v>102</v>
      </c>
      <c r="B4" s="64">
        <f>'[1]Totale unità'!$D$8</f>
        <v>61</v>
      </c>
      <c r="C4" s="36">
        <f>1055*105%</f>
        <v>1107.75</v>
      </c>
      <c r="D4" s="36">
        <f>C4*B4</f>
        <v>67572.75</v>
      </c>
      <c r="E4" s="36">
        <f>D4*32.7%</f>
        <v>22096.28925</v>
      </c>
      <c r="F4" s="36">
        <f>D4+E4</f>
        <v>89669.03925</v>
      </c>
    </row>
    <row r="5" spans="1:6" ht="15">
      <c r="A5" s="32" t="s">
        <v>1</v>
      </c>
      <c r="B5" s="64">
        <f>'[1]Totale unità'!$D$9</f>
        <v>897</v>
      </c>
      <c r="C5" s="36">
        <f>1055*105%</f>
        <v>1107.75</v>
      </c>
      <c r="D5" s="36">
        <f aca="true" t="shared" si="0" ref="D5:D14">C5*B5</f>
        <v>993651.75</v>
      </c>
      <c r="E5" s="36">
        <f aca="true" t="shared" si="1" ref="E5:E14">D5*32.7%</f>
        <v>324924.12225</v>
      </c>
      <c r="F5" s="36">
        <f aca="true" t="shared" si="2" ref="F5:F14">D5+E5</f>
        <v>1318575.87225</v>
      </c>
    </row>
    <row r="6" spans="1:6" ht="15">
      <c r="A6" s="32" t="s">
        <v>2</v>
      </c>
      <c r="B6" s="64">
        <f>'[1]Totale unità'!$D$10</f>
        <v>1462</v>
      </c>
      <c r="C6" s="36">
        <f>961*105%</f>
        <v>1009.0500000000001</v>
      </c>
      <c r="D6" s="36">
        <f t="shared" si="0"/>
        <v>1475231.1</v>
      </c>
      <c r="E6" s="36">
        <f t="shared" si="1"/>
        <v>482400.56970000005</v>
      </c>
      <c r="F6" s="36">
        <f t="shared" si="2"/>
        <v>1957631.6697000002</v>
      </c>
    </row>
    <row r="7" spans="1:6" ht="15">
      <c r="A7" s="32" t="s">
        <v>103</v>
      </c>
      <c r="B7" s="64">
        <f>'[1]Totale unità'!$D$11</f>
        <v>863</v>
      </c>
      <c r="C7" s="36">
        <f>876*105%</f>
        <v>919.8000000000001</v>
      </c>
      <c r="D7" s="36">
        <f t="shared" si="0"/>
        <v>793787.4</v>
      </c>
      <c r="E7" s="36">
        <f t="shared" si="1"/>
        <v>259568.47980000003</v>
      </c>
      <c r="F7" s="36">
        <f t="shared" si="2"/>
        <v>1053355.8798</v>
      </c>
    </row>
    <row r="8" spans="1:6" ht="15">
      <c r="A8" s="32" t="s">
        <v>3</v>
      </c>
      <c r="B8" s="64">
        <f>'[1]Totale unità'!$D$12</f>
        <v>3620</v>
      </c>
      <c r="C8" s="36">
        <f>876*105%</f>
        <v>919.8000000000001</v>
      </c>
      <c r="D8" s="36">
        <f t="shared" si="0"/>
        <v>3329676.0000000005</v>
      </c>
      <c r="E8" s="36">
        <f t="shared" si="1"/>
        <v>1088804.0520000001</v>
      </c>
      <c r="F8" s="36">
        <f t="shared" si="2"/>
        <v>4418480.052000001</v>
      </c>
    </row>
    <row r="9" spans="1:6" ht="15">
      <c r="A9" s="32" t="s">
        <v>104</v>
      </c>
      <c r="B9" s="64">
        <f>'[1]Totale unità'!$D$13</f>
        <v>328</v>
      </c>
      <c r="C9" s="36">
        <f>802*105%</f>
        <v>842.1</v>
      </c>
      <c r="D9" s="36">
        <f t="shared" si="0"/>
        <v>276208.8</v>
      </c>
      <c r="E9" s="36">
        <f t="shared" si="1"/>
        <v>90320.2776</v>
      </c>
      <c r="F9" s="36">
        <f t="shared" si="2"/>
        <v>366529.07759999996</v>
      </c>
    </row>
    <row r="10" spans="1:6" ht="15">
      <c r="A10" s="32" t="s">
        <v>4</v>
      </c>
      <c r="B10" s="64">
        <f>'[1]Totale unità'!$D$14</f>
        <v>4018</v>
      </c>
      <c r="C10" s="36">
        <f>802*105%</f>
        <v>842.1</v>
      </c>
      <c r="D10" s="36">
        <f t="shared" si="0"/>
        <v>3383557.8000000003</v>
      </c>
      <c r="E10" s="36">
        <f t="shared" si="1"/>
        <v>1106423.4006</v>
      </c>
      <c r="F10" s="36">
        <f t="shared" si="2"/>
        <v>4489981.2006</v>
      </c>
    </row>
    <row r="11" spans="1:6" ht="15">
      <c r="A11" s="32" t="s">
        <v>5</v>
      </c>
      <c r="B11" s="64">
        <f>'[1]Totale unità'!$D$15</f>
        <v>3101</v>
      </c>
      <c r="C11" s="36">
        <f>756*105%</f>
        <v>793.8000000000001</v>
      </c>
      <c r="D11" s="36">
        <f t="shared" si="0"/>
        <v>2461573.8000000003</v>
      </c>
      <c r="E11" s="36">
        <f t="shared" si="1"/>
        <v>804934.6326000001</v>
      </c>
      <c r="F11" s="36">
        <f t="shared" si="2"/>
        <v>3266508.4326000004</v>
      </c>
    </row>
    <row r="12" spans="1:6" ht="15">
      <c r="A12" s="32" t="s">
        <v>6</v>
      </c>
      <c r="B12" s="64">
        <f>'[1]Totale unità'!$D$16</f>
        <v>4263</v>
      </c>
      <c r="C12" s="36">
        <f>718*105%</f>
        <v>753.9</v>
      </c>
      <c r="D12" s="36">
        <f t="shared" si="0"/>
        <v>3213875.6999999997</v>
      </c>
      <c r="E12" s="36">
        <f t="shared" si="1"/>
        <v>1050937.3539</v>
      </c>
      <c r="F12" s="36">
        <f t="shared" si="2"/>
        <v>4264813.0539</v>
      </c>
    </row>
    <row r="13" spans="1:6" ht="15">
      <c r="A13" s="32" t="s">
        <v>105</v>
      </c>
      <c r="B13" s="64">
        <f>'[1]Totale unità'!$D$17</f>
        <v>802</v>
      </c>
      <c r="C13" s="36">
        <f>680*105%</f>
        <v>714</v>
      </c>
      <c r="D13" s="36">
        <f t="shared" si="0"/>
        <v>572628</v>
      </c>
      <c r="E13" s="36">
        <f t="shared" si="1"/>
        <v>187249.356</v>
      </c>
      <c r="F13" s="36">
        <f t="shared" si="2"/>
        <v>759877.356</v>
      </c>
    </row>
    <row r="14" spans="1:6" ht="15.75" thickBot="1">
      <c r="A14" s="35" t="s">
        <v>7</v>
      </c>
      <c r="B14" s="72">
        <f>'[1]Totale unità'!$D$18</f>
        <v>1176</v>
      </c>
      <c r="C14" s="37">
        <f>680*105%</f>
        <v>714</v>
      </c>
      <c r="D14" s="36">
        <f t="shared" si="0"/>
        <v>839664</v>
      </c>
      <c r="E14" s="36">
        <f t="shared" si="1"/>
        <v>274570.128</v>
      </c>
      <c r="F14" s="36">
        <f t="shared" si="2"/>
        <v>1114234.128</v>
      </c>
    </row>
    <row r="15" spans="1:6" s="33" customFormat="1" ht="15.75" thickTop="1">
      <c r="A15" s="34" t="s">
        <v>111</v>
      </c>
      <c r="B15" s="65">
        <f>SUM(B4:B14)</f>
        <v>20591</v>
      </c>
      <c r="C15" s="38"/>
      <c r="D15" s="38">
        <f>SUM(D5:D14)</f>
        <v>17339854.35</v>
      </c>
      <c r="E15" s="38">
        <f>SUM(E5:E14)</f>
        <v>5670132.37245</v>
      </c>
      <c r="F15" s="38">
        <f>SUM(F5:F14)</f>
        <v>23009986.72245</v>
      </c>
    </row>
    <row r="18" ht="14.25">
      <c r="A18" s="1" t="s">
        <v>144</v>
      </c>
    </row>
  </sheetData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&amp;LDir.ne Centr. Risorse Finanziarie e Strumentali&amp;RALLEGATO B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 topLeftCell="A1">
      <selection activeCell="A5" sqref="A5:E5"/>
    </sheetView>
  </sheetViews>
  <sheetFormatPr defaultColWidth="9.140625" defaultRowHeight="12.75"/>
  <cols>
    <col min="1" max="1" width="19.7109375" style="0" customWidth="1"/>
    <col min="2" max="2" width="12.57421875" style="0" customWidth="1"/>
    <col min="3" max="4" width="19.7109375" style="0" customWidth="1"/>
    <col min="5" max="5" width="26.00390625" style="0" customWidth="1"/>
    <col min="6" max="6" width="19.421875" style="0" bestFit="1" customWidth="1"/>
  </cols>
  <sheetData>
    <row r="1" spans="1:5" ht="18">
      <c r="A1" s="78" t="s">
        <v>8</v>
      </c>
      <c r="B1" s="78"/>
      <c r="C1" s="78"/>
      <c r="D1" s="78"/>
      <c r="E1" s="78"/>
    </row>
    <row r="2" spans="1:5" ht="18">
      <c r="A2" s="25"/>
      <c r="B2" s="25"/>
      <c r="C2" s="25"/>
      <c r="D2" s="25"/>
      <c r="E2" s="25"/>
    </row>
    <row r="3" spans="1:5" ht="18">
      <c r="A3" s="25"/>
      <c r="B3" s="25"/>
      <c r="C3" s="25"/>
      <c r="D3" s="25"/>
      <c r="E3" s="25"/>
    </row>
    <row r="5" spans="1:5" ht="29.25" customHeight="1">
      <c r="A5" s="31" t="s">
        <v>112</v>
      </c>
      <c r="B5" s="31" t="s">
        <v>107</v>
      </c>
      <c r="C5" s="31" t="s">
        <v>11</v>
      </c>
      <c r="D5" s="31" t="s">
        <v>108</v>
      </c>
      <c r="E5" s="31" t="s">
        <v>109</v>
      </c>
    </row>
    <row r="6" spans="1:5" ht="31.5" customHeight="1">
      <c r="A6" s="39">
        <f>'ALLEGATO B'!B15</f>
        <v>20591</v>
      </c>
      <c r="B6" s="42">
        <v>343</v>
      </c>
      <c r="C6" s="40">
        <f>A6*B6</f>
        <v>7062713</v>
      </c>
      <c r="D6" s="40">
        <f>C6*32.7%</f>
        <v>2309507.151</v>
      </c>
      <c r="E6" s="41">
        <f>C6+D6</f>
        <v>9372220.151</v>
      </c>
    </row>
  </sheetData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&amp;LDir.ne Centr. Risorse Finanziarie e Strumentali&amp;RALLEGATO  C
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workbookViewId="0" topLeftCell="A1">
      <selection activeCell="B5" sqref="B5"/>
    </sheetView>
  </sheetViews>
  <sheetFormatPr defaultColWidth="9.140625" defaultRowHeight="12.75"/>
  <cols>
    <col min="1" max="1" width="25.421875" style="0" customWidth="1"/>
    <col min="2" max="2" width="10.140625" style="0" customWidth="1"/>
    <col min="3" max="4" width="19.7109375" style="0" customWidth="1"/>
    <col min="5" max="5" width="26.7109375" style="0" customWidth="1"/>
    <col min="6" max="6" width="19.421875" style="0" bestFit="1" customWidth="1"/>
  </cols>
  <sheetData>
    <row r="1" spans="1:5" ht="23.25">
      <c r="A1" s="77" t="s">
        <v>101</v>
      </c>
      <c r="B1" s="77"/>
      <c r="C1" s="77"/>
      <c r="D1" s="77"/>
      <c r="E1" s="77"/>
    </row>
    <row r="3" spans="1:5" ht="25.5" customHeight="1">
      <c r="A3" s="31" t="s">
        <v>113</v>
      </c>
      <c r="B3" s="31" t="s">
        <v>114</v>
      </c>
      <c r="C3" s="31" t="s">
        <v>11</v>
      </c>
      <c r="D3" s="31" t="s">
        <v>108</v>
      </c>
      <c r="E3" s="31" t="s">
        <v>109</v>
      </c>
    </row>
    <row r="4" spans="1:5" ht="30.75" customHeight="1">
      <c r="A4" s="43">
        <v>7682.3</v>
      </c>
      <c r="B4" s="5">
        <v>102</v>
      </c>
      <c r="C4" s="40">
        <f>A4*B4</f>
        <v>783594.6</v>
      </c>
      <c r="D4" s="40">
        <f>C4*32.7%</f>
        <v>256235.4342</v>
      </c>
      <c r="E4" s="41">
        <f>C4+D4</f>
        <v>1039830.0342</v>
      </c>
    </row>
  </sheetData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&amp;LDir.ne Centr. Risorse Finanziarie e Strumentali&amp;RALLEGATO  D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="75" zoomScaleNormal="75" workbookViewId="0" topLeftCell="A1">
      <selection activeCell="B7" sqref="B7"/>
    </sheetView>
  </sheetViews>
  <sheetFormatPr defaultColWidth="9.140625" defaultRowHeight="12.75"/>
  <cols>
    <col min="1" max="1" width="76.421875" style="0" customWidth="1"/>
    <col min="2" max="2" width="25.8515625" style="0" customWidth="1"/>
  </cols>
  <sheetData>
    <row r="1" spans="1:5" ht="27.75">
      <c r="A1" s="79" t="s">
        <v>115</v>
      </c>
      <c r="B1" s="79"/>
      <c r="C1" s="29"/>
      <c r="D1" s="29"/>
      <c r="E1" s="29"/>
    </row>
    <row r="2" ht="13.5" thickBot="1"/>
    <row r="3" spans="1:2" ht="102" customHeight="1" thickBot="1">
      <c r="A3" s="44" t="s">
        <v>43</v>
      </c>
      <c r="B3" s="14" t="s">
        <v>44</v>
      </c>
    </row>
    <row r="4" spans="1:2" ht="34.5" customHeight="1" thickBot="1">
      <c r="A4" s="15" t="s">
        <v>45</v>
      </c>
      <c r="B4" s="45">
        <v>47096.29</v>
      </c>
    </row>
    <row r="5" spans="1:2" ht="34.5" customHeight="1" thickBot="1">
      <c r="A5" s="16" t="s">
        <v>116</v>
      </c>
      <c r="B5" s="46">
        <v>1445.56</v>
      </c>
    </row>
    <row r="6" spans="1:2" ht="34.5" customHeight="1" thickBot="1">
      <c r="A6" s="16" t="s">
        <v>117</v>
      </c>
      <c r="B6" s="46">
        <v>39733.53</v>
      </c>
    </row>
    <row r="7" spans="1:2" ht="34.5" customHeight="1" thickBot="1">
      <c r="A7" s="16" t="s">
        <v>118</v>
      </c>
      <c r="B7" s="45">
        <v>0</v>
      </c>
    </row>
    <row r="8" spans="1:2" ht="34.5" customHeight="1" thickBot="1">
      <c r="A8" s="16" t="s">
        <v>11</v>
      </c>
      <c r="B8" s="45">
        <f>SUM(B4:B7)</f>
        <v>88275.38</v>
      </c>
    </row>
    <row r="9" spans="1:2" ht="34.5" customHeight="1" thickBot="1">
      <c r="A9" s="16" t="s">
        <v>40</v>
      </c>
      <c r="B9" s="45">
        <f>B8*132.7%</f>
        <v>117141.42926</v>
      </c>
    </row>
  </sheetData>
  <mergeCells count="1">
    <mergeCell ref="A1:B1"/>
  </mergeCells>
  <printOptions horizontalCentered="1"/>
  <pageMargins left="0.984251968503937" right="0.984251968503937" top="1.968503937007874" bottom="0.7874015748031497" header="0.6692913385826772" footer="0.11811023622047245"/>
  <pageSetup fitToHeight="1" fitToWidth="1" horizontalDpi="600" verticalDpi="600" orientation="landscape" paperSize="9" scale="89" r:id="rId1"/>
  <headerFooter alignWithMargins="0">
    <oddHeader>&amp;L&amp;11Dir.ne Centr. Risorse Finanziarie e Strumentali&amp;R&amp;11ALLEGATO  E&amp;10
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07"/>
  <sheetViews>
    <sheetView zoomScale="60" zoomScaleNormal="60" workbookViewId="0" topLeftCell="A1">
      <pane xSplit="2" ySplit="4" topLeftCell="C92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A2" sqref="A2"/>
    </sheetView>
  </sheetViews>
  <sheetFormatPr defaultColWidth="9.140625" defaultRowHeight="12.75"/>
  <cols>
    <col min="1" max="1" width="31.57421875" style="0" customWidth="1"/>
    <col min="2" max="2" width="43.57421875" style="0" customWidth="1"/>
    <col min="3" max="3" width="30.8515625" style="0" customWidth="1"/>
  </cols>
  <sheetData>
    <row r="1" spans="1:5" ht="27.75">
      <c r="A1" s="79" t="s">
        <v>160</v>
      </c>
      <c r="B1" s="79"/>
      <c r="C1" s="79"/>
      <c r="D1" s="29"/>
      <c r="E1" s="29"/>
    </row>
    <row r="3" spans="1:3" ht="49.5" customHeight="1">
      <c r="A3" s="90" t="s">
        <v>34</v>
      </c>
      <c r="B3" s="90" t="s">
        <v>46</v>
      </c>
      <c r="C3" s="92" t="s">
        <v>47</v>
      </c>
    </row>
    <row r="4" spans="1:3" ht="16.5" customHeight="1">
      <c r="A4" s="91"/>
      <c r="B4" s="91"/>
      <c r="C4" s="93"/>
    </row>
    <row r="5" spans="1:3" ht="18.75">
      <c r="A5" s="17"/>
      <c r="B5" s="18"/>
      <c r="C5" s="48"/>
    </row>
    <row r="6" spans="1:3" ht="18.75">
      <c r="A6" s="80" t="s">
        <v>48</v>
      </c>
      <c r="B6" s="18"/>
      <c r="C6" s="49"/>
    </row>
    <row r="7" spans="1:3" ht="18.75">
      <c r="A7" s="80"/>
      <c r="B7" s="18" t="s">
        <v>49</v>
      </c>
      <c r="C7" s="49">
        <v>22368.5</v>
      </c>
    </row>
    <row r="8" spans="1:3" ht="18.75">
      <c r="A8" s="19"/>
      <c r="B8" s="18"/>
      <c r="C8" s="49"/>
    </row>
    <row r="9" spans="1:3" ht="12.75" customHeight="1">
      <c r="A9" s="17"/>
      <c r="B9" s="18"/>
      <c r="C9" s="49"/>
    </row>
    <row r="10" spans="1:3" ht="51">
      <c r="A10" s="80" t="s">
        <v>50</v>
      </c>
      <c r="B10" s="18" t="s">
        <v>51</v>
      </c>
      <c r="C10" s="49">
        <v>2510.64</v>
      </c>
    </row>
    <row r="11" spans="1:3" ht="18.75">
      <c r="A11" s="80"/>
      <c r="B11" s="18" t="s">
        <v>52</v>
      </c>
      <c r="C11" s="49">
        <v>6370</v>
      </c>
    </row>
    <row r="12" spans="1:3" ht="18.75">
      <c r="A12" s="19"/>
      <c r="B12" s="18"/>
      <c r="C12" s="49"/>
    </row>
    <row r="13" spans="1:3" ht="18.75">
      <c r="A13" s="19"/>
      <c r="B13" s="18"/>
      <c r="C13" s="49"/>
    </row>
    <row r="14" spans="1:3" ht="25.5">
      <c r="A14" s="19" t="s">
        <v>17</v>
      </c>
      <c r="B14" s="18" t="s">
        <v>53</v>
      </c>
      <c r="C14" s="49">
        <v>1495.19</v>
      </c>
    </row>
    <row r="15" spans="1:3" ht="18.75">
      <c r="A15" s="19"/>
      <c r="B15" s="18"/>
      <c r="C15" s="49"/>
    </row>
    <row r="16" spans="1:3" ht="18.75">
      <c r="A16" s="19"/>
      <c r="B16" s="18"/>
      <c r="C16" s="49"/>
    </row>
    <row r="17" spans="1:3" ht="18.75">
      <c r="A17" s="19" t="s">
        <v>54</v>
      </c>
      <c r="B17" s="18" t="s">
        <v>120</v>
      </c>
      <c r="C17" s="49">
        <v>7020.8</v>
      </c>
    </row>
    <row r="18" spans="1:3" ht="18.75">
      <c r="A18" s="19"/>
      <c r="B18" s="18"/>
      <c r="C18" s="49"/>
    </row>
    <row r="19" spans="1:3" ht="18.75">
      <c r="A19" s="19"/>
      <c r="B19" s="18"/>
      <c r="C19" s="49"/>
    </row>
    <row r="20" spans="1:3" ht="18">
      <c r="A20" s="28" t="s">
        <v>19</v>
      </c>
      <c r="B20" s="21" t="s">
        <v>55</v>
      </c>
      <c r="C20" s="50">
        <v>245.92</v>
      </c>
    </row>
    <row r="21" spans="1:3" ht="18">
      <c r="A21" s="19"/>
      <c r="B21" s="18"/>
      <c r="C21" s="51"/>
    </row>
    <row r="22" spans="1:3" ht="100.5" customHeight="1">
      <c r="A22" s="80" t="s">
        <v>21</v>
      </c>
      <c r="B22" s="20" t="s">
        <v>56</v>
      </c>
      <c r="C22" s="49">
        <v>371.9</v>
      </c>
    </row>
    <row r="23" spans="1:3" ht="25.5">
      <c r="A23" s="80"/>
      <c r="B23" s="18" t="s">
        <v>57</v>
      </c>
      <c r="C23" s="51">
        <v>144.61</v>
      </c>
    </row>
    <row r="24" spans="1:3" ht="21.75" customHeight="1">
      <c r="A24" s="80"/>
      <c r="B24" s="18" t="s">
        <v>55</v>
      </c>
      <c r="C24" s="51">
        <v>10357.25</v>
      </c>
    </row>
    <row r="25" spans="1:3" ht="18.75">
      <c r="A25" s="19"/>
      <c r="B25" s="18"/>
      <c r="C25" s="49"/>
    </row>
    <row r="26" spans="1:3" ht="12.75">
      <c r="A26" s="80" t="s">
        <v>58</v>
      </c>
      <c r="B26" s="86" t="s">
        <v>59</v>
      </c>
      <c r="C26" s="88">
        <v>1231.95</v>
      </c>
    </row>
    <row r="27" spans="1:3" ht="12.75">
      <c r="A27" s="80"/>
      <c r="B27" s="87"/>
      <c r="C27" s="89"/>
    </row>
    <row r="28" spans="1:3" ht="18.75">
      <c r="A28" s="19"/>
      <c r="B28" s="18"/>
      <c r="C28" s="49"/>
    </row>
    <row r="29" spans="1:3" ht="18.75">
      <c r="A29" s="19"/>
      <c r="B29" s="18"/>
      <c r="C29" s="49"/>
    </row>
    <row r="30" spans="1:3" ht="51">
      <c r="A30" s="19" t="s">
        <v>60</v>
      </c>
      <c r="B30" s="18" t="s">
        <v>61</v>
      </c>
      <c r="C30" s="49">
        <v>4100.67</v>
      </c>
    </row>
    <row r="31" spans="1:3" ht="18.75">
      <c r="A31" s="19"/>
      <c r="B31" s="18"/>
      <c r="C31" s="49"/>
    </row>
    <row r="32" spans="1:3" ht="18.75">
      <c r="A32" s="19"/>
      <c r="B32" s="18"/>
      <c r="C32" s="49"/>
    </row>
    <row r="33" spans="1:3" ht="18.75">
      <c r="A33" s="19" t="s">
        <v>62</v>
      </c>
      <c r="B33" s="18" t="s">
        <v>49</v>
      </c>
      <c r="C33" s="49">
        <v>10389.56</v>
      </c>
    </row>
    <row r="34" spans="1:3" ht="18.75">
      <c r="A34" s="19"/>
      <c r="B34" s="18"/>
      <c r="C34" s="49"/>
    </row>
    <row r="35" spans="1:3" ht="18.75">
      <c r="A35" s="19"/>
      <c r="B35" s="18"/>
      <c r="C35" s="49"/>
    </row>
    <row r="36" spans="1:3" ht="38.25" customHeight="1">
      <c r="A36" s="19" t="s">
        <v>63</v>
      </c>
      <c r="B36" s="20" t="s">
        <v>64</v>
      </c>
      <c r="C36" s="49">
        <v>232.41</v>
      </c>
    </row>
    <row r="37" spans="1:3" ht="18.75">
      <c r="A37" s="19"/>
      <c r="B37" s="18"/>
      <c r="C37" s="49"/>
    </row>
    <row r="38" spans="1:3" ht="18.75">
      <c r="A38" s="19"/>
      <c r="B38" s="18"/>
      <c r="C38" s="49"/>
    </row>
    <row r="39" spans="1:3" ht="25.5">
      <c r="A39" s="19" t="s">
        <v>65</v>
      </c>
      <c r="B39" s="18" t="s">
        <v>66</v>
      </c>
      <c r="C39" s="49">
        <v>991.9</v>
      </c>
    </row>
    <row r="40" spans="1:3" ht="18.75">
      <c r="A40" s="19"/>
      <c r="B40" s="18"/>
      <c r="C40" s="49"/>
    </row>
    <row r="41" spans="1:3" ht="18.75">
      <c r="A41" s="19"/>
      <c r="B41" s="18"/>
      <c r="C41" s="49"/>
    </row>
    <row r="42" spans="1:3" ht="18.75">
      <c r="A42" s="19" t="s">
        <v>22</v>
      </c>
      <c r="B42" s="18" t="s">
        <v>67</v>
      </c>
      <c r="C42" s="49">
        <v>14731.45</v>
      </c>
    </row>
    <row r="43" spans="1:3" ht="18.75">
      <c r="A43" s="19"/>
      <c r="B43" s="18"/>
      <c r="C43" s="49"/>
    </row>
    <row r="44" spans="1:3" ht="51" customHeight="1">
      <c r="A44" s="19" t="s">
        <v>23</v>
      </c>
      <c r="B44" s="18" t="s">
        <v>68</v>
      </c>
      <c r="C44" s="49">
        <v>9700</v>
      </c>
    </row>
    <row r="45" spans="1:3" ht="18.75">
      <c r="A45" s="19"/>
      <c r="B45" s="18"/>
      <c r="C45" s="49"/>
    </row>
    <row r="46" spans="1:3" ht="18.75">
      <c r="A46" s="19"/>
      <c r="B46" s="18"/>
      <c r="C46" s="49"/>
    </row>
    <row r="47" spans="1:3" ht="25.5">
      <c r="A47" s="19" t="s">
        <v>25</v>
      </c>
      <c r="B47" s="18" t="s">
        <v>69</v>
      </c>
      <c r="C47" s="49">
        <v>1330.77</v>
      </c>
    </row>
    <row r="48" spans="1:3" ht="18.75">
      <c r="A48" s="19"/>
      <c r="B48" s="18"/>
      <c r="C48" s="49"/>
    </row>
    <row r="49" spans="1:3" ht="18.75">
      <c r="A49" s="19"/>
      <c r="B49" s="18"/>
      <c r="C49" s="49"/>
    </row>
    <row r="50" spans="1:3" ht="25.5">
      <c r="A50" s="19" t="s">
        <v>70</v>
      </c>
      <c r="B50" s="18" t="s">
        <v>71</v>
      </c>
      <c r="C50" s="49">
        <v>2100</v>
      </c>
    </row>
    <row r="51" spans="1:3" ht="18.75">
      <c r="A51" s="19"/>
      <c r="B51" s="18"/>
      <c r="C51" s="49"/>
    </row>
    <row r="52" spans="1:3" ht="18.75">
      <c r="A52" s="19"/>
      <c r="B52" s="18"/>
      <c r="C52" s="49"/>
    </row>
    <row r="53" spans="1:3" ht="25.5">
      <c r="A53" s="19" t="s">
        <v>72</v>
      </c>
      <c r="B53" s="18" t="s">
        <v>73</v>
      </c>
      <c r="C53" s="49">
        <v>2076.16</v>
      </c>
    </row>
    <row r="54" spans="1:3" ht="18.75">
      <c r="A54" s="19"/>
      <c r="B54" s="18"/>
      <c r="C54" s="49"/>
    </row>
    <row r="55" spans="1:3" ht="18.75">
      <c r="A55" s="19"/>
      <c r="B55" s="18"/>
      <c r="C55" s="49"/>
    </row>
    <row r="56" spans="1:3" ht="107.25" customHeight="1">
      <c r="A56" s="19" t="s">
        <v>74</v>
      </c>
      <c r="B56" s="20" t="s">
        <v>75</v>
      </c>
      <c r="C56" s="49">
        <v>2799.2</v>
      </c>
    </row>
    <row r="57" spans="1:3" ht="18.75">
      <c r="A57" s="19"/>
      <c r="B57" s="18"/>
      <c r="C57" s="49"/>
    </row>
    <row r="58" spans="1:3" ht="18.75">
      <c r="A58" s="19"/>
      <c r="B58" s="18"/>
      <c r="C58" s="49"/>
    </row>
    <row r="59" spans="1:3" ht="25.5">
      <c r="A59" s="80" t="s">
        <v>76</v>
      </c>
      <c r="B59" s="18" t="s">
        <v>77</v>
      </c>
      <c r="C59" s="49">
        <v>550</v>
      </c>
    </row>
    <row r="60" spans="1:3" ht="25.5" customHeight="1">
      <c r="A60" s="80"/>
      <c r="B60" s="18"/>
      <c r="C60" s="49"/>
    </row>
    <row r="61" spans="1:3" ht="18.75">
      <c r="A61" s="19"/>
      <c r="B61" s="18"/>
      <c r="C61" s="49"/>
    </row>
    <row r="62" spans="1:3" ht="18.75">
      <c r="A62" s="19"/>
      <c r="B62" s="18"/>
      <c r="C62" s="49"/>
    </row>
    <row r="63" spans="1:3" ht="44.25" customHeight="1">
      <c r="A63" s="19" t="s">
        <v>27</v>
      </c>
      <c r="B63" s="53"/>
      <c r="C63" s="54">
        <v>10400</v>
      </c>
    </row>
    <row r="64" spans="1:3" ht="18">
      <c r="A64" s="19"/>
      <c r="B64" s="53"/>
      <c r="C64" s="47"/>
    </row>
    <row r="65" spans="1:3" ht="18.75">
      <c r="A65" s="19"/>
      <c r="B65" s="20"/>
      <c r="C65" s="49"/>
    </row>
    <row r="66" spans="1:3" ht="18.75">
      <c r="A66" s="19"/>
      <c r="B66" s="18"/>
      <c r="C66" s="49"/>
    </row>
    <row r="67" spans="1:3" ht="18.75">
      <c r="A67" s="19" t="s">
        <v>78</v>
      </c>
      <c r="B67" s="18" t="s">
        <v>79</v>
      </c>
      <c r="C67" s="49">
        <v>9425.34</v>
      </c>
    </row>
    <row r="68" spans="1:3" ht="18.75">
      <c r="A68" s="19"/>
      <c r="B68" s="18"/>
      <c r="C68" s="49"/>
    </row>
    <row r="69" spans="1:3" ht="18.75">
      <c r="A69" s="19"/>
      <c r="B69" s="18"/>
      <c r="C69" s="49"/>
    </row>
    <row r="70" spans="1:3" ht="18.75">
      <c r="A70" s="19" t="s">
        <v>80</v>
      </c>
      <c r="B70" s="18" t="s">
        <v>49</v>
      </c>
      <c r="C70" s="49">
        <v>10400</v>
      </c>
    </row>
    <row r="71" spans="1:3" ht="18.75">
      <c r="A71" s="19"/>
      <c r="B71" s="18"/>
      <c r="C71" s="49"/>
    </row>
    <row r="72" spans="1:3" ht="18.75">
      <c r="A72" s="19"/>
      <c r="B72" s="18"/>
      <c r="C72" s="49"/>
    </row>
    <row r="73" spans="1:3" ht="25.5">
      <c r="A73" s="19" t="s">
        <v>82</v>
      </c>
      <c r="B73" s="18" t="s">
        <v>83</v>
      </c>
      <c r="C73" s="49">
        <v>4200</v>
      </c>
    </row>
    <row r="74" spans="1:3" ht="18.75">
      <c r="A74" s="19"/>
      <c r="B74" s="18"/>
      <c r="C74" s="49"/>
    </row>
    <row r="75" spans="1:3" ht="18.75">
      <c r="A75" s="19"/>
      <c r="B75" s="18"/>
      <c r="C75" s="49"/>
    </row>
    <row r="76" spans="1:3" ht="25.5">
      <c r="A76" s="22" t="s">
        <v>84</v>
      </c>
      <c r="B76" s="18" t="s">
        <v>85</v>
      </c>
      <c r="C76" s="49">
        <v>3010.94</v>
      </c>
    </row>
    <row r="77" spans="1:3" ht="18.75">
      <c r="A77" s="19"/>
      <c r="B77" s="18"/>
      <c r="C77" s="49"/>
    </row>
    <row r="78" spans="1:3" ht="18.75">
      <c r="A78" s="19"/>
      <c r="B78" s="18"/>
      <c r="C78" s="49"/>
    </row>
    <row r="79" spans="1:3" ht="25.5">
      <c r="A79" s="80" t="s">
        <v>86</v>
      </c>
      <c r="B79" s="18" t="s">
        <v>87</v>
      </c>
      <c r="C79" s="49">
        <v>1885.07</v>
      </c>
    </row>
    <row r="80" spans="1:3" ht="18.75">
      <c r="A80" s="80"/>
      <c r="B80" s="18" t="s">
        <v>88</v>
      </c>
      <c r="C80" s="49">
        <v>7889.38</v>
      </c>
    </row>
    <row r="81" spans="1:3" ht="18.75">
      <c r="A81" s="19"/>
      <c r="B81" s="18"/>
      <c r="C81" s="49"/>
    </row>
    <row r="82" spans="1:3" ht="18.75">
      <c r="A82" s="19"/>
      <c r="B82" s="18"/>
      <c r="C82" s="49"/>
    </row>
    <row r="83" spans="1:3" ht="25.5">
      <c r="A83" s="19" t="s">
        <v>29</v>
      </c>
      <c r="B83" s="18" t="s">
        <v>89</v>
      </c>
      <c r="C83" s="49">
        <v>1446.08</v>
      </c>
    </row>
    <row r="84" spans="1:3" ht="18.75">
      <c r="A84" s="19"/>
      <c r="B84" s="18"/>
      <c r="C84" s="49"/>
    </row>
    <row r="85" spans="1:3" ht="18.75">
      <c r="A85" s="19"/>
      <c r="B85" s="18"/>
      <c r="C85" s="49"/>
    </row>
    <row r="86" spans="1:3" ht="63.75">
      <c r="A86" s="80" t="s">
        <v>30</v>
      </c>
      <c r="B86" s="20" t="s">
        <v>90</v>
      </c>
      <c r="C86" s="49">
        <v>2331.8</v>
      </c>
    </row>
    <row r="87" spans="1:3" ht="18.75">
      <c r="A87" s="80"/>
      <c r="B87" s="18" t="s">
        <v>55</v>
      </c>
      <c r="C87" s="49">
        <v>2480</v>
      </c>
    </row>
    <row r="88" spans="1:3" ht="18.75">
      <c r="A88" s="19"/>
      <c r="B88" s="18"/>
      <c r="C88" s="49"/>
    </row>
    <row r="89" spans="1:3" ht="18.75">
      <c r="A89" s="19"/>
      <c r="B89" s="18"/>
      <c r="C89" s="49"/>
    </row>
    <row r="90" spans="1:3" ht="38.25">
      <c r="A90" s="19" t="s">
        <v>91</v>
      </c>
      <c r="B90" s="18" t="s">
        <v>92</v>
      </c>
      <c r="C90" s="49">
        <v>2786.28</v>
      </c>
    </row>
    <row r="91" spans="1:3" ht="18.75">
      <c r="A91" s="19"/>
      <c r="B91" s="18"/>
      <c r="C91" s="49"/>
    </row>
    <row r="92" spans="1:3" ht="18.75">
      <c r="A92" s="19"/>
      <c r="B92" s="18"/>
      <c r="C92" s="49"/>
    </row>
    <row r="93" spans="1:3" ht="63.75">
      <c r="A93" s="83" t="s">
        <v>93</v>
      </c>
      <c r="B93" s="18" t="s">
        <v>94</v>
      </c>
      <c r="C93" s="49">
        <v>3288.82</v>
      </c>
    </row>
    <row r="94" spans="1:3" ht="18.75">
      <c r="A94" s="84"/>
      <c r="B94" s="18" t="s">
        <v>49</v>
      </c>
      <c r="C94" s="49">
        <v>8462.4</v>
      </c>
    </row>
    <row r="95" spans="1:3" ht="18.75">
      <c r="A95" s="85"/>
      <c r="B95" s="18" t="s">
        <v>95</v>
      </c>
      <c r="C95" s="49">
        <v>620</v>
      </c>
    </row>
    <row r="96" spans="1:3" ht="18.75">
      <c r="A96" s="19"/>
      <c r="B96" s="18"/>
      <c r="C96" s="49"/>
    </row>
    <row r="97" spans="1:3" ht="18.75">
      <c r="A97" s="19"/>
      <c r="B97" s="18"/>
      <c r="C97" s="49"/>
    </row>
    <row r="98" spans="1:3" ht="38.25">
      <c r="A98" s="19" t="s">
        <v>32</v>
      </c>
      <c r="B98" s="18" t="s">
        <v>96</v>
      </c>
      <c r="C98" s="49">
        <v>3905.2</v>
      </c>
    </row>
    <row r="99" spans="1:3" ht="18.75">
      <c r="A99" s="19"/>
      <c r="B99" s="18"/>
      <c r="C99" s="49"/>
    </row>
    <row r="100" spans="1:3" ht="18.75">
      <c r="A100" s="80" t="s">
        <v>97</v>
      </c>
      <c r="B100" s="18"/>
      <c r="C100" s="49"/>
    </row>
    <row r="101" spans="1:3" ht="18.75">
      <c r="A101" s="80"/>
      <c r="B101" s="18" t="s">
        <v>49</v>
      </c>
      <c r="C101" s="49">
        <v>17466.7</v>
      </c>
    </row>
    <row r="102" spans="1:3" ht="18.75">
      <c r="A102" s="19"/>
      <c r="B102" s="18"/>
      <c r="C102" s="49"/>
    </row>
    <row r="103" spans="1:3" ht="18.75">
      <c r="A103" s="19"/>
      <c r="B103" s="18"/>
      <c r="C103" s="49"/>
    </row>
    <row r="104" spans="1:3" ht="18.75">
      <c r="A104" s="19" t="s">
        <v>98</v>
      </c>
      <c r="B104" s="18" t="s">
        <v>49</v>
      </c>
      <c r="C104" s="49">
        <v>24762.03</v>
      </c>
    </row>
    <row r="105" spans="1:3" ht="18.75">
      <c r="A105" s="19"/>
      <c r="B105" s="18"/>
      <c r="C105" s="49"/>
    </row>
    <row r="106" spans="1:3" ht="24.75" customHeight="1">
      <c r="A106" s="19" t="s">
        <v>11</v>
      </c>
      <c r="B106" s="23"/>
      <c r="C106" s="52">
        <f>SUM(C1:C105)</f>
        <v>215878.91999999998</v>
      </c>
    </row>
    <row r="107" spans="1:4" ht="33" customHeight="1">
      <c r="A107" s="81" t="s">
        <v>40</v>
      </c>
      <c r="B107" s="82"/>
      <c r="C107" s="52">
        <f>C106*132.7%</f>
        <v>286471.32684</v>
      </c>
      <c r="D107" s="55"/>
    </row>
  </sheetData>
  <mergeCells count="16">
    <mergeCell ref="C26:C27"/>
    <mergeCell ref="A1:C1"/>
    <mergeCell ref="A3:A4"/>
    <mergeCell ref="B3:B4"/>
    <mergeCell ref="C3:C4"/>
    <mergeCell ref="A6:A7"/>
    <mergeCell ref="A10:A11"/>
    <mergeCell ref="A59:A60"/>
    <mergeCell ref="A22:A24"/>
    <mergeCell ref="A107:B107"/>
    <mergeCell ref="A79:A80"/>
    <mergeCell ref="A86:A87"/>
    <mergeCell ref="A93:A95"/>
    <mergeCell ref="A100:A101"/>
    <mergeCell ref="A26:A27"/>
    <mergeCell ref="B26:B27"/>
  </mergeCells>
  <printOptions horizontalCentered="1"/>
  <pageMargins left="0.5905511811023623" right="0.5905511811023623" top="0.6692913385826772" bottom="0.5905511811023623" header="0.31496062992125984" footer="0.31496062992125984"/>
  <pageSetup fitToHeight="0" horizontalDpi="600" verticalDpi="600" orientation="portrait" paperSize="9" scale="72" r:id="rId1"/>
  <headerFooter alignWithMargins="0">
    <oddHeader>&amp;LDir.ne Centr. Risorse Finanziarie e Strumentali&amp;RALLEGATO  F
</oddHeader>
    <oddFooter>&amp;CPagina &amp;P</oddFooter>
  </headerFooter>
  <rowBreaks count="2" manualBreakCount="2">
    <brk id="42" max="255" man="1"/>
    <brk id="1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76.421875" style="0" customWidth="1"/>
    <col min="2" max="2" width="23.7109375" style="0" customWidth="1"/>
  </cols>
  <sheetData>
    <row r="1" spans="1:5" ht="27.75">
      <c r="A1" s="79" t="s">
        <v>119</v>
      </c>
      <c r="B1" s="79"/>
      <c r="C1" s="29"/>
      <c r="D1" s="29"/>
      <c r="E1" s="29"/>
    </row>
    <row r="2" ht="13.5" thickBot="1"/>
    <row r="3" spans="1:2" ht="102" customHeight="1" thickBot="1">
      <c r="A3" s="14" t="s">
        <v>43</v>
      </c>
      <c r="B3" s="14" t="s">
        <v>47</v>
      </c>
    </row>
    <row r="4" spans="1:2" ht="34.5" customHeight="1" thickBot="1">
      <c r="A4" s="15" t="s">
        <v>45</v>
      </c>
      <c r="B4" s="45">
        <v>53049.11</v>
      </c>
    </row>
    <row r="5" spans="1:2" ht="34.5" customHeight="1" thickBot="1">
      <c r="A5" s="16" t="s">
        <v>118</v>
      </c>
      <c r="B5" s="45">
        <v>4766.25</v>
      </c>
    </row>
    <row r="6" spans="1:2" ht="34.5" customHeight="1" thickBot="1">
      <c r="A6" s="16" t="s">
        <v>116</v>
      </c>
      <c r="B6" s="46">
        <v>1364</v>
      </c>
    </row>
    <row r="7" spans="1:2" ht="34.5" customHeight="1" thickBot="1">
      <c r="A7" s="16" t="s">
        <v>117</v>
      </c>
      <c r="B7" s="46">
        <v>21366.34</v>
      </c>
    </row>
    <row r="8" spans="1:2" ht="34.5" customHeight="1" thickBot="1">
      <c r="A8" s="16" t="s">
        <v>11</v>
      </c>
      <c r="B8" s="45">
        <f>SUM(B4:B7)</f>
        <v>80545.7</v>
      </c>
    </row>
    <row r="9" spans="1:2" ht="34.5" customHeight="1" thickBot="1">
      <c r="A9" s="16" t="s">
        <v>40</v>
      </c>
      <c r="B9" s="45">
        <f>B8*132.7%</f>
        <v>106884.1439</v>
      </c>
    </row>
  </sheetData>
  <mergeCells count="1">
    <mergeCell ref="A1:B1"/>
  </mergeCells>
  <printOptions horizontalCentered="1"/>
  <pageMargins left="0.984251968503937" right="0.984251968503937" top="1.968503937007874" bottom="0.7874015748031497" header="0.6692913385826772" footer="0.11811023622047245"/>
  <pageSetup fitToHeight="1" fitToWidth="1" horizontalDpi="600" verticalDpi="600" orientation="landscape" paperSize="9" scale="89" r:id="rId1"/>
  <headerFooter alignWithMargins="0">
    <oddHeader>&amp;L&amp;11Dir.ne Centr. Risorse Finanziarie e Strumentali&amp;R&amp;11ALLEGATO  G&amp;10
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24">
      <selection activeCell="A18" sqref="A18"/>
    </sheetView>
  </sheetViews>
  <sheetFormatPr defaultColWidth="9.140625" defaultRowHeight="12.75"/>
  <cols>
    <col min="1" max="1" width="20.7109375" style="0" customWidth="1"/>
    <col min="2" max="2" width="24.8515625" style="0" customWidth="1"/>
    <col min="3" max="3" width="7.00390625" style="0" customWidth="1"/>
    <col min="4" max="4" width="7.8515625" style="0" customWidth="1"/>
    <col min="5" max="5" width="15.7109375" style="0" customWidth="1"/>
  </cols>
  <sheetData>
    <row r="1" spans="1:5" ht="27.75">
      <c r="A1" s="79" t="s">
        <v>41</v>
      </c>
      <c r="B1" s="94"/>
      <c r="C1" s="94"/>
      <c r="D1" s="94"/>
      <c r="E1" s="94"/>
    </row>
    <row r="3" spans="1:5" ht="12.75">
      <c r="A3" s="7" t="s">
        <v>34</v>
      </c>
      <c r="B3" s="7" t="s">
        <v>37</v>
      </c>
      <c r="C3" s="7" t="s">
        <v>38</v>
      </c>
      <c r="D3" s="8" t="s">
        <v>10</v>
      </c>
      <c r="E3" s="8" t="s">
        <v>39</v>
      </c>
    </row>
    <row r="4" spans="1:5" ht="14.25">
      <c r="A4" s="6" t="s">
        <v>18</v>
      </c>
      <c r="B4" s="6" t="s">
        <v>35</v>
      </c>
      <c r="C4" s="12">
        <v>1</v>
      </c>
      <c r="D4" s="2" t="s">
        <v>121</v>
      </c>
      <c r="E4" s="56">
        <v>2065.82</v>
      </c>
    </row>
    <row r="5" spans="1:5" ht="14.25">
      <c r="A5" s="6" t="s">
        <v>122</v>
      </c>
      <c r="B5" s="6" t="s">
        <v>35</v>
      </c>
      <c r="C5" s="12">
        <v>1</v>
      </c>
      <c r="D5" s="2" t="s">
        <v>121</v>
      </c>
      <c r="E5" s="56">
        <v>2065.82</v>
      </c>
    </row>
    <row r="6" spans="1:5" ht="14.25">
      <c r="A6" s="6" t="s">
        <v>20</v>
      </c>
      <c r="B6" s="6" t="s">
        <v>35</v>
      </c>
      <c r="C6" s="12">
        <v>1</v>
      </c>
      <c r="D6" s="2" t="s">
        <v>121</v>
      </c>
      <c r="E6" s="56">
        <v>2065.82</v>
      </c>
    </row>
    <row r="7" spans="1:5" ht="14.25">
      <c r="A7" s="6" t="s">
        <v>58</v>
      </c>
      <c r="B7" s="6" t="s">
        <v>146</v>
      </c>
      <c r="C7" s="12">
        <v>1</v>
      </c>
      <c r="D7" s="2" t="s">
        <v>121</v>
      </c>
      <c r="E7" s="56">
        <v>2065.82</v>
      </c>
    </row>
    <row r="8" spans="1:5" ht="14.25">
      <c r="A8" s="6" t="s">
        <v>147</v>
      </c>
      <c r="B8" s="6" t="s">
        <v>35</v>
      </c>
      <c r="C8" s="12">
        <v>1</v>
      </c>
      <c r="D8" s="2" t="s">
        <v>121</v>
      </c>
      <c r="E8" s="56">
        <v>2065.82</v>
      </c>
    </row>
    <row r="9" spans="1:5" ht="14.25">
      <c r="A9" s="6" t="s">
        <v>123</v>
      </c>
      <c r="B9" s="6" t="s">
        <v>35</v>
      </c>
      <c r="C9" s="12">
        <v>1</v>
      </c>
      <c r="D9" s="2" t="s">
        <v>121</v>
      </c>
      <c r="E9" s="56">
        <v>2065.82</v>
      </c>
    </row>
    <row r="10" spans="1:5" ht="14.25">
      <c r="A10" s="6" t="s">
        <v>124</v>
      </c>
      <c r="B10" s="6" t="s">
        <v>35</v>
      </c>
      <c r="C10" s="12">
        <v>1</v>
      </c>
      <c r="D10" s="2" t="s">
        <v>121</v>
      </c>
      <c r="E10" s="56">
        <v>2065.82</v>
      </c>
    </row>
    <row r="11" spans="1:5" ht="14.25">
      <c r="A11" s="6" t="s">
        <v>24</v>
      </c>
      <c r="B11" s="6" t="s">
        <v>35</v>
      </c>
      <c r="C11" s="12">
        <v>1</v>
      </c>
      <c r="D11" s="2" t="s">
        <v>121</v>
      </c>
      <c r="E11" s="56">
        <v>2065.82</v>
      </c>
    </row>
    <row r="12" spans="1:5" ht="14.25">
      <c r="A12" s="6" t="s">
        <v>74</v>
      </c>
      <c r="B12" s="6" t="s">
        <v>35</v>
      </c>
      <c r="C12" s="12">
        <v>1</v>
      </c>
      <c r="D12" s="2" t="s">
        <v>121</v>
      </c>
      <c r="E12" s="56">
        <v>2065.82</v>
      </c>
    </row>
    <row r="13" spans="1:5" ht="14.25">
      <c r="A13" s="6" t="s">
        <v>26</v>
      </c>
      <c r="B13" s="6" t="s">
        <v>35</v>
      </c>
      <c r="C13" s="12">
        <v>1</v>
      </c>
      <c r="D13" s="2" t="s">
        <v>121</v>
      </c>
      <c r="E13" s="56">
        <v>2065.82</v>
      </c>
    </row>
    <row r="14" spans="1:5" ht="14.25">
      <c r="A14" s="6" t="s">
        <v>148</v>
      </c>
      <c r="B14" s="6" t="s">
        <v>35</v>
      </c>
      <c r="C14" s="12">
        <v>1</v>
      </c>
      <c r="D14" s="2" t="s">
        <v>121</v>
      </c>
      <c r="E14" s="56">
        <v>2065.82</v>
      </c>
    </row>
    <row r="15" spans="1:5" ht="14.25">
      <c r="A15" s="6" t="s">
        <v>76</v>
      </c>
      <c r="B15" s="6" t="s">
        <v>35</v>
      </c>
      <c r="C15" s="12">
        <v>1</v>
      </c>
      <c r="D15" s="2" t="s">
        <v>121</v>
      </c>
      <c r="E15" s="56">
        <v>2065.82</v>
      </c>
    </row>
    <row r="16" spans="1:5" ht="14.25">
      <c r="A16" s="6" t="s">
        <v>161</v>
      </c>
      <c r="B16" s="6" t="s">
        <v>35</v>
      </c>
      <c r="C16" s="12">
        <v>1</v>
      </c>
      <c r="D16" s="2" t="s">
        <v>121</v>
      </c>
      <c r="E16" s="56">
        <v>2065.82</v>
      </c>
    </row>
    <row r="17" spans="1:5" ht="14.25">
      <c r="A17" s="6" t="s">
        <v>125</v>
      </c>
      <c r="B17" s="6" t="s">
        <v>35</v>
      </c>
      <c r="C17" s="12">
        <v>1</v>
      </c>
      <c r="D17" s="2" t="s">
        <v>121</v>
      </c>
      <c r="E17" s="56">
        <v>2065.82</v>
      </c>
    </row>
    <row r="18" spans="1:5" ht="14.25">
      <c r="A18" s="6" t="s">
        <v>162</v>
      </c>
      <c r="B18" s="6" t="s">
        <v>35</v>
      </c>
      <c r="C18" s="12">
        <v>1</v>
      </c>
      <c r="D18" s="2" t="s">
        <v>121</v>
      </c>
      <c r="E18" s="56">
        <v>2065.82</v>
      </c>
    </row>
    <row r="19" spans="1:5" ht="14.25">
      <c r="A19" s="6" t="s">
        <v>80</v>
      </c>
      <c r="B19" s="6" t="s">
        <v>35</v>
      </c>
      <c r="C19" s="12">
        <v>1</v>
      </c>
      <c r="D19" s="2" t="s">
        <v>121</v>
      </c>
      <c r="E19" s="56">
        <v>2065.82</v>
      </c>
    </row>
    <row r="20" spans="1:5" ht="14.25">
      <c r="A20" s="6" t="s">
        <v>81</v>
      </c>
      <c r="B20" s="6" t="s">
        <v>35</v>
      </c>
      <c r="C20" s="12">
        <v>1</v>
      </c>
      <c r="D20" s="2" t="s">
        <v>121</v>
      </c>
      <c r="E20" s="56">
        <v>2065.82</v>
      </c>
    </row>
    <row r="21" spans="1:5" ht="14.25">
      <c r="A21" s="6" t="s">
        <v>82</v>
      </c>
      <c r="B21" s="6" t="s">
        <v>35</v>
      </c>
      <c r="C21" s="12">
        <v>1</v>
      </c>
      <c r="D21" s="2" t="s">
        <v>121</v>
      </c>
      <c r="E21" s="56">
        <v>2065.82</v>
      </c>
    </row>
    <row r="22" spans="1:5" ht="14.25">
      <c r="A22" s="6" t="s">
        <v>28</v>
      </c>
      <c r="B22" s="6" t="s">
        <v>35</v>
      </c>
      <c r="C22" s="12">
        <v>1</v>
      </c>
      <c r="D22" s="2" t="s">
        <v>121</v>
      </c>
      <c r="E22" s="56">
        <v>2065.82</v>
      </c>
    </row>
    <row r="23" spans="1:5" ht="14.25">
      <c r="A23" s="6" t="s">
        <v>99</v>
      </c>
      <c r="B23" s="6" t="s">
        <v>35</v>
      </c>
      <c r="C23" s="12">
        <v>1</v>
      </c>
      <c r="D23" s="2" t="s">
        <v>121</v>
      </c>
      <c r="E23" s="56">
        <v>2065.82</v>
      </c>
    </row>
    <row r="24" spans="1:5" ht="14.25">
      <c r="A24" s="6" t="s">
        <v>91</v>
      </c>
      <c r="B24" s="6" t="s">
        <v>146</v>
      </c>
      <c r="C24" s="12">
        <v>1</v>
      </c>
      <c r="D24" s="2" t="s">
        <v>121</v>
      </c>
      <c r="E24" s="56">
        <v>2065.82</v>
      </c>
    </row>
    <row r="25" spans="1:5" ht="14.25">
      <c r="A25" s="6" t="s">
        <v>31</v>
      </c>
      <c r="B25" s="6" t="s">
        <v>35</v>
      </c>
      <c r="C25" s="12">
        <v>1</v>
      </c>
      <c r="D25" s="2" t="s">
        <v>121</v>
      </c>
      <c r="E25" s="56">
        <v>2065.82</v>
      </c>
    </row>
    <row r="26" spans="1:5" ht="14.25">
      <c r="A26" s="6" t="s">
        <v>32</v>
      </c>
      <c r="B26" s="6" t="s">
        <v>36</v>
      </c>
      <c r="C26" s="12">
        <v>1</v>
      </c>
      <c r="D26" s="2" t="s">
        <v>121</v>
      </c>
      <c r="E26" s="56">
        <v>2065.82</v>
      </c>
    </row>
    <row r="27" spans="1:5" ht="14.25">
      <c r="A27" s="6" t="s">
        <v>149</v>
      </c>
      <c r="B27" s="6" t="s">
        <v>35</v>
      </c>
      <c r="C27" s="12">
        <v>1</v>
      </c>
      <c r="D27" s="2" t="s">
        <v>121</v>
      </c>
      <c r="E27" s="56">
        <v>2065.82</v>
      </c>
    </row>
    <row r="28" spans="1:5" ht="14.25">
      <c r="A28" s="6" t="s">
        <v>150</v>
      </c>
      <c r="B28" s="6" t="s">
        <v>35</v>
      </c>
      <c r="C28" s="12">
        <v>1</v>
      </c>
      <c r="D28" s="2" t="s">
        <v>121</v>
      </c>
      <c r="E28" s="56">
        <v>2065.82</v>
      </c>
    </row>
    <row r="29" spans="1:5" ht="14.25">
      <c r="A29" s="6" t="s">
        <v>33</v>
      </c>
      <c r="B29" s="6" t="s">
        <v>35</v>
      </c>
      <c r="C29" s="12">
        <v>1</v>
      </c>
      <c r="D29" s="2" t="s">
        <v>121</v>
      </c>
      <c r="E29" s="56">
        <v>2065.82</v>
      </c>
    </row>
    <row r="30" spans="1:5" ht="14.25">
      <c r="A30" s="6" t="s">
        <v>11</v>
      </c>
      <c r="B30" s="6"/>
      <c r="C30" s="12">
        <f>SUM(C4:C29)</f>
        <v>26</v>
      </c>
      <c r="D30" s="2"/>
      <c r="E30" s="56">
        <f>SUM(E4:E29)</f>
        <v>53711.32</v>
      </c>
    </row>
    <row r="31" spans="1:5" ht="15">
      <c r="A31" s="95" t="s">
        <v>40</v>
      </c>
      <c r="B31" s="96"/>
      <c r="C31" s="96"/>
      <c r="D31" s="97"/>
      <c r="E31" s="57">
        <f>E30*132.7%</f>
        <v>71274.92164</v>
      </c>
    </row>
    <row r="32" spans="1:5" ht="14.25">
      <c r="A32" s="9"/>
      <c r="B32" s="9"/>
      <c r="C32" s="9"/>
      <c r="D32" s="10"/>
      <c r="E32" s="11"/>
    </row>
  </sheetData>
  <mergeCells count="2">
    <mergeCell ref="A1:E1"/>
    <mergeCell ref="A31:D3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Header>&amp;LDir.ne Centr. Risorse Finanziarie e Strumentali&amp;RALLEGATO  H
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2" max="2" width="9.8515625" style="24" customWidth="1"/>
    <col min="3" max="3" width="15.8515625" style="0" customWidth="1"/>
    <col min="4" max="6" width="19.7109375" style="0" customWidth="1"/>
    <col min="7" max="7" width="13.421875" style="0" bestFit="1" customWidth="1"/>
  </cols>
  <sheetData>
    <row r="1" spans="1:6" ht="58.5" customHeight="1">
      <c r="A1" s="98" t="s">
        <v>163</v>
      </c>
      <c r="B1" s="98"/>
      <c r="C1" s="98"/>
      <c r="D1" s="98"/>
      <c r="E1" s="98"/>
      <c r="F1" s="98"/>
    </row>
    <row r="3" spans="1:6" ht="30">
      <c r="A3" s="30" t="s">
        <v>106</v>
      </c>
      <c r="B3" s="31" t="s">
        <v>145</v>
      </c>
      <c r="C3" s="31" t="s">
        <v>107</v>
      </c>
      <c r="D3" s="31" t="s">
        <v>11</v>
      </c>
      <c r="E3" s="31" t="s">
        <v>108</v>
      </c>
      <c r="F3" s="30" t="s">
        <v>109</v>
      </c>
    </row>
    <row r="4" spans="1:6" ht="15">
      <c r="A4" s="32" t="s">
        <v>126</v>
      </c>
      <c r="B4" s="64">
        <v>101</v>
      </c>
      <c r="C4" s="36">
        <f>CEILING(2312*10/12,1)</f>
        <v>1927</v>
      </c>
      <c r="D4" s="36">
        <f>C4*B4</f>
        <v>194627</v>
      </c>
      <c r="E4" s="36">
        <f>ROUNDDOWN(D4*32.7%,0)</f>
        <v>63643</v>
      </c>
      <c r="F4" s="36">
        <f>D4+E4</f>
        <v>258270</v>
      </c>
    </row>
    <row r="5" spans="1:6" ht="15">
      <c r="A5" s="32" t="s">
        <v>127</v>
      </c>
      <c r="B5" s="64">
        <v>172</v>
      </c>
      <c r="C5" s="36">
        <f>CEILING(2110*10/12,1)</f>
        <v>1759</v>
      </c>
      <c r="D5" s="36">
        <f>C5*B5</f>
        <v>302548</v>
      </c>
      <c r="E5" s="36">
        <f>ROUNDDOWN(D5*32.7%,0)</f>
        <v>98933</v>
      </c>
      <c r="F5" s="36">
        <f>D5+E5</f>
        <v>401481</v>
      </c>
    </row>
    <row r="6" spans="1:6" ht="15">
      <c r="A6" s="32" t="s">
        <v>128</v>
      </c>
      <c r="B6" s="64">
        <v>784</v>
      </c>
      <c r="C6" s="36">
        <f>CEILING(1426*10/12,1)</f>
        <v>1189</v>
      </c>
      <c r="D6" s="36">
        <f>C6*B6</f>
        <v>932176</v>
      </c>
      <c r="E6" s="36">
        <f>ROUNDDOWN(D6*32.7%,0)</f>
        <v>304821</v>
      </c>
      <c r="F6" s="36">
        <f>D6+E6</f>
        <v>1236997</v>
      </c>
    </row>
    <row r="7" spans="1:6" ht="15">
      <c r="A7" s="32" t="s">
        <v>129</v>
      </c>
      <c r="B7" s="64">
        <v>513</v>
      </c>
      <c r="C7" s="36">
        <f>CEILING(1471*10/12,1)</f>
        <v>1226</v>
      </c>
      <c r="D7" s="36">
        <f>C7*B7</f>
        <v>628938</v>
      </c>
      <c r="E7" s="36">
        <f>ROUNDDOWN(D7*32.7%,0)</f>
        <v>205662</v>
      </c>
      <c r="F7" s="36">
        <f>D7+E7</f>
        <v>834600</v>
      </c>
    </row>
    <row r="8" spans="1:6" s="33" customFormat="1" ht="15">
      <c r="A8" s="34" t="s">
        <v>111</v>
      </c>
      <c r="B8" s="65">
        <f>SUM(B4:B7)</f>
        <v>1570</v>
      </c>
      <c r="C8" s="38"/>
      <c r="D8" s="38">
        <f>SUM(D4:D7)</f>
        <v>2058289</v>
      </c>
      <c r="E8" s="38">
        <f>SUM(E4:E7)</f>
        <v>673059</v>
      </c>
      <c r="F8" s="38">
        <f>SUM(F4:F7)</f>
        <v>2731348</v>
      </c>
    </row>
    <row r="11" ht="14.25">
      <c r="A11" s="1"/>
    </row>
    <row r="15" spans="4:7" ht="12.75">
      <c r="D15" s="59"/>
      <c r="E15" s="59"/>
      <c r="F15" s="55"/>
      <c r="G15" s="55"/>
    </row>
    <row r="16" spans="2:7" ht="12.75">
      <c r="B16" s="63"/>
      <c r="D16" s="59"/>
      <c r="E16" s="59"/>
      <c r="F16" s="55"/>
      <c r="G16" s="55"/>
    </row>
    <row r="17" spans="4:7" ht="12.75">
      <c r="D17" s="59"/>
      <c r="E17" s="59"/>
      <c r="F17" s="55"/>
      <c r="G17" s="55"/>
    </row>
    <row r="18" spans="4:7" ht="12.75">
      <c r="D18" s="59"/>
      <c r="E18" s="59"/>
      <c r="F18" s="55"/>
      <c r="G18" s="55"/>
    </row>
    <row r="20" ht="12.75">
      <c r="D20" s="59"/>
    </row>
  </sheetData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&amp;LDir.ne Centr. Risorse Finanziarie e Strumentali&amp;RALLEGATO I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rs</cp:lastModifiedBy>
  <cp:lastPrinted>2004-11-02T09:57:01Z</cp:lastPrinted>
  <dcterms:created xsi:type="dcterms:W3CDTF">2000-07-21T10:02:52Z</dcterms:created>
  <dcterms:modified xsi:type="dcterms:W3CDTF">2004-11-04T14:57:27Z</dcterms:modified>
  <cp:category/>
  <cp:version/>
  <cp:contentType/>
  <cp:contentStatus/>
</cp:coreProperties>
</file>